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LOSAS\GLOSA DIRPLAN INFORME 2021\informe 4to trimestre 2021\"/>
    </mc:Choice>
  </mc:AlternateContent>
  <xr:revisionPtr revIDLastSave="0" documentId="8_{C0788DAF-340E-4D15-86E0-D03F8C3D7175}" xr6:coauthVersionLast="47" xr6:coauthVersionMax="47" xr10:uidLastSave="{00000000-0000-0000-0000-000000000000}"/>
  <bookViews>
    <workbookView xWindow="13550" yWindow="-110" windowWidth="19420" windowHeight="10420" activeTab="2" xr2:uid="{00000000-000D-0000-FFFF-FFFF00000000}"/>
  </bookViews>
  <sheets>
    <sheet name="FET" sheetId="3" r:id="rId1"/>
    <sheet name="SECTORIAL" sheetId="1" r:id="rId2"/>
    <sheet name="SECTORIAL+FET" sheetId="4" r:id="rId3"/>
  </sheets>
  <definedNames>
    <definedName name="_xlnm.Print_Area" localSheetId="0">FET!$B$1:$L$33</definedName>
    <definedName name="_xlnm.Print_Area" localSheetId="1">SECTORIAL!$B$1:$L$32</definedName>
    <definedName name="_xlnm.Print_Area" localSheetId="2">'SECTORIAL+FET'!$B$1:$L$33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H29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31" i="3" l="1"/>
  <c r="G31" i="1" l="1"/>
  <c r="G28" i="3" l="1"/>
  <c r="H31" i="4" l="1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G31" i="4"/>
  <c r="G29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3" i="4"/>
  <c r="D31" i="4"/>
  <c r="D29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13" i="4"/>
  <c r="C31" i="4"/>
  <c r="C29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13" i="4"/>
  <c r="K15" i="4" l="1"/>
  <c r="K23" i="4"/>
  <c r="L13" i="4"/>
  <c r="K25" i="4"/>
  <c r="L23" i="4"/>
  <c r="K24" i="4"/>
  <c r="L24" i="4"/>
  <c r="L26" i="4"/>
  <c r="K19" i="4"/>
  <c r="L16" i="4"/>
  <c r="L17" i="4"/>
  <c r="L18" i="4"/>
  <c r="K13" i="4"/>
  <c r="L29" i="4"/>
  <c r="K29" i="4"/>
  <c r="L25" i="4"/>
  <c r="K22" i="4"/>
  <c r="L14" i="4"/>
  <c r="K21" i="4"/>
  <c r="L27" i="4"/>
  <c r="K20" i="4"/>
  <c r="K18" i="4"/>
  <c r="K17" i="4"/>
  <c r="L19" i="4"/>
  <c r="K16" i="4"/>
  <c r="L20" i="4"/>
  <c r="K27" i="4"/>
  <c r="L21" i="4"/>
  <c r="L15" i="4"/>
  <c r="K26" i="4"/>
  <c r="K14" i="4"/>
  <c r="L22" i="4"/>
  <c r="H28" i="4"/>
  <c r="H30" i="4" s="1"/>
  <c r="H32" i="4" s="1"/>
  <c r="G28" i="4"/>
  <c r="G30" i="4" s="1"/>
  <c r="G32" i="4" s="1"/>
  <c r="D28" i="4"/>
  <c r="D30" i="4" s="1"/>
  <c r="D32" i="4" s="1"/>
  <c r="C28" i="4"/>
  <c r="C30" i="4" s="1"/>
  <c r="C32" i="4" s="1"/>
  <c r="L28" i="4" l="1"/>
  <c r="L30" i="4" s="1"/>
  <c r="K28" i="4"/>
  <c r="K30" i="4" s="1"/>
  <c r="L29" i="3"/>
  <c r="K29" i="3"/>
  <c r="D28" i="3"/>
  <c r="D30" i="3" s="1"/>
  <c r="D32" i="3" s="1"/>
  <c r="C28" i="3"/>
  <c r="C30" i="3" s="1"/>
  <c r="C32" i="3" s="1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G30" i="3" l="1"/>
  <c r="G32" i="3" s="1"/>
  <c r="H28" i="3"/>
  <c r="H30" i="3" s="1"/>
  <c r="H32" i="3" s="1"/>
  <c r="L13" i="3"/>
  <c r="L28" i="3" s="1"/>
  <c r="L30" i="3" s="1"/>
  <c r="K13" i="3"/>
  <c r="K28" i="3" s="1"/>
  <c r="K30" i="3" s="1"/>
  <c r="S21" i="1"/>
  <c r="P28" i="1" l="1"/>
  <c r="P30" i="1" s="1"/>
  <c r="P32" i="1" s="1"/>
  <c r="R21" i="1"/>
  <c r="L21" i="1"/>
  <c r="K21" i="1"/>
  <c r="Q28" i="1" l="1"/>
  <c r="Q30" i="1" l="1"/>
  <c r="Q32" i="1" s="1"/>
  <c r="R34" i="1"/>
  <c r="P36" i="1"/>
  <c r="R13" i="1"/>
  <c r="R14" i="1"/>
  <c r="R15" i="1"/>
  <c r="R16" i="1"/>
  <c r="R17" i="1"/>
  <c r="R18" i="1"/>
  <c r="R19" i="1"/>
  <c r="R20" i="1"/>
  <c r="R22" i="1"/>
  <c r="R23" i="1"/>
  <c r="R24" i="1"/>
  <c r="R25" i="1"/>
  <c r="R26" i="1"/>
  <c r="R27" i="1"/>
  <c r="R29" i="1"/>
  <c r="R31" i="1"/>
  <c r="S34" i="1" l="1"/>
  <c r="Q36" i="1"/>
  <c r="R28" i="1"/>
  <c r="S29" i="1"/>
  <c r="S13" i="1"/>
  <c r="S14" i="1"/>
  <c r="S15" i="1"/>
  <c r="S16" i="1"/>
  <c r="S17" i="1"/>
  <c r="S18" i="1"/>
  <c r="S19" i="1"/>
  <c r="S20" i="1"/>
  <c r="S22" i="1"/>
  <c r="S23" i="1"/>
  <c r="S24" i="1"/>
  <c r="S25" i="1"/>
  <c r="S26" i="1"/>
  <c r="S27" i="1"/>
  <c r="R30" i="1" l="1"/>
  <c r="R32" i="1" s="1"/>
  <c r="S28" i="1"/>
  <c r="D28" i="1"/>
  <c r="D30" i="1" s="1"/>
  <c r="D32" i="1" s="1"/>
  <c r="C28" i="1"/>
  <c r="L29" i="1"/>
  <c r="K29" i="1"/>
  <c r="H28" i="1"/>
  <c r="H30" i="1" s="1"/>
  <c r="H32" i="1" s="1"/>
  <c r="G28" i="1"/>
  <c r="G30" i="1" s="1"/>
  <c r="G32" i="1" s="1"/>
  <c r="L27" i="1"/>
  <c r="K27" i="1"/>
  <c r="L26" i="1"/>
  <c r="K26" i="1"/>
  <c r="L25" i="1"/>
  <c r="K25" i="1"/>
  <c r="L24" i="1"/>
  <c r="K24" i="1"/>
  <c r="L23" i="1"/>
  <c r="K23" i="1"/>
  <c r="L22" i="1"/>
  <c r="K22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S30" i="1" l="1"/>
  <c r="K28" i="1"/>
  <c r="K30" i="1" s="1"/>
  <c r="L28" i="1"/>
  <c r="L30" i="1" s="1"/>
  <c r="C30" i="1"/>
  <c r="C32" i="1" s="1"/>
  <c r="R33" i="1" s="1"/>
  <c r="S32" i="1" l="1"/>
  <c r="S33" i="1" s="1"/>
</calcChain>
</file>

<file path=xl/sharedStrings.xml><?xml version="1.0" encoding="utf-8"?>
<sst xmlns="http://schemas.openxmlformats.org/spreadsheetml/2006/main" count="249" uniqueCount="46">
  <si>
    <t>Región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</si>
  <si>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</si>
  <si>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</si>
  <si>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</si>
  <si>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</si>
  <si>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</si>
  <si>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</si>
  <si>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</si>
  <si>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Libertador</t>
  </si>
  <si>
    <t>Maule</t>
  </si>
  <si>
    <t>Bio Bio</t>
  </si>
  <si>
    <t>Araucanía</t>
  </si>
  <si>
    <t>Los Ríos</t>
  </si>
  <si>
    <t>Los Lagos</t>
  </si>
  <si>
    <t>Aisén</t>
  </si>
  <si>
    <t>Magallanes</t>
  </si>
  <si>
    <t xml:space="preserve">Subtotal </t>
  </si>
  <si>
    <t>Metropolitana</t>
  </si>
  <si>
    <t xml:space="preserve">SubTotal </t>
  </si>
  <si>
    <t>Fondos sin decretar</t>
  </si>
  <si>
    <t>Fondos sin decretar (1)</t>
  </si>
  <si>
    <t>FACTOR:</t>
  </si>
  <si>
    <t>TOTAL</t>
  </si>
  <si>
    <t xml:space="preserve">TOTAL </t>
  </si>
  <si>
    <t>TOTAL (2)</t>
  </si>
  <si>
    <t>Ñuble</t>
  </si>
  <si>
    <t>Nuble</t>
  </si>
  <si>
    <t xml:space="preserve">Fondos sin decretar </t>
  </si>
  <si>
    <t>Subtítulo 31 diferencias de montos asignados el año 2021 con respecto al año 2020</t>
  </si>
  <si>
    <t>Inversión Año 2020 en miles de $ 2021</t>
  </si>
  <si>
    <t>Inversión Año 2021 en miles de $ 2021</t>
  </si>
  <si>
    <t>Diferencias en miles de $ 2021</t>
  </si>
  <si>
    <t>Libertador Gral. Bdo. O'Higgins</t>
  </si>
  <si>
    <t>Presupuesto Vigente 2021</t>
  </si>
  <si>
    <r>
      <rPr>
        <b/>
        <sz val="10"/>
        <color theme="1"/>
        <rFont val="Calibri"/>
        <family val="2"/>
        <scheme val="minor"/>
      </rPr>
      <t>Glosa N° 9</t>
    </r>
    <r>
      <rPr>
        <sz val="10"/>
        <color theme="1"/>
        <rFont val="Calibri"/>
        <family val="2"/>
        <scheme val="minor"/>
      </rPr>
      <t>: El Ministerio de Obras Públicas informará trimestralmente a la Comisión Especial Mixta de Presupuestos, en forma separada la inversión contratada y en ejecución que de cuenta detallada de los mayores recursos que, en relación al año 2020, se han asignado para el año 2021 a las regiones distintas de la Región Metropolitana.</t>
    </r>
  </si>
  <si>
    <t>PPTO $2021</t>
  </si>
  <si>
    <t>GASTO $2021</t>
  </si>
  <si>
    <t>ok factor 22/4/21</t>
  </si>
  <si>
    <t>Fondos Sectoriales</t>
  </si>
  <si>
    <t>(Miles de $ 2021)</t>
  </si>
  <si>
    <t>Fondo de Emergencia Transitorio (FET-COVID-19)</t>
  </si>
  <si>
    <t>Fondo de Emergencia Transitorio (FET-COVID-19) + Fondos Sectoriales</t>
  </si>
  <si>
    <t>Presupuesto 31 de diciembre Año 2020</t>
  </si>
  <si>
    <t>Monto Asignado a inversiones en ejecución al 31 de diciembre de 2020</t>
  </si>
  <si>
    <t>Presupuesto 31 de diciembre Año 2021</t>
  </si>
  <si>
    <t>Monto Asignado a inversiones en ejecución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</si>
</sst>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3" fillId="0" borderId="0"/>
  </cellStyleXfs>
  <cellXfs count="66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justify" vertical="center" wrapText="1"/>
    </xf>
    <xf numFmtId="20" fontId="10" fillId="0" borderId="0" xfId="0" applyNumberFormat="1" applyFont="1" applyFill="1" applyAlignment="1">
      <alignment horizontal="justify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0" fontId="11" fillId="0" borderId="1" xfId="2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4" fillId="3" borderId="1" xfId="2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2" fillId="0" borderId="3" xfId="2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0" fillId="0" borderId="0" xfId="0" quotePrefix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5" fillId="2" borderId="1" xfId="2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13" fillId="0" borderId="1" xfId="0" applyFont="1" applyBorder="1" applyAlignment="1">
      <alignment vertical="center"/>
    </xf>
    <xf numFmtId="3" fontId="12" fillId="5" borderId="1" xfId="0" applyNumberFormat="1" applyFont="1" applyFill="1" applyBorder="1" applyAlignment="1">
      <alignment vertical="center"/>
    </xf>
    <xf numFmtId="3" fontId="0" fillId="5" borderId="6" xfId="0" applyNumberFormat="1" applyFill="1" applyBorder="1" applyAlignment="1">
      <alignment vertical="center"/>
    </xf>
    <xf numFmtId="3" fontId="12" fillId="5" borderId="6" xfId="0" applyNumberFormat="1" applyFon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3" fontId="0" fillId="6" borderId="6" xfId="0" applyNumberForma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5" fontId="18" fillId="0" borderId="1" xfId="0" applyNumberFormat="1" applyFont="1" applyBorder="1" applyAlignment="1">
      <alignment vertical="center"/>
    </xf>
    <xf numFmtId="0" fontId="10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7" borderId="1" xfId="3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0" fontId="10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Hoja1" xfId="2" xr:uid="{00000000-0005-0000-0000-000002000000}"/>
    <cellStyle name="Normal_Hoja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zoomScale="90" zoomScaleNormal="90" zoomScaleSheetLayoutView="100" workbookViewId="0">
      <selection activeCell="B1" sqref="B1:L33"/>
    </sheetView>
  </sheetViews>
  <sheetFormatPr baseColWidth="10" defaultRowHeight="15" x14ac:dyDescent="0.25"/>
  <cols>
    <col min="1" max="1" width="11.42578125" style="6"/>
    <col min="2" max="2" width="12.42578125" style="7" customWidth="1"/>
    <col min="3" max="3" width="14.7109375" style="7" customWidth="1"/>
    <col min="4" max="4" width="15.140625" style="7" customWidth="1"/>
    <col min="5" max="5" width="3.85546875" style="11" customWidth="1"/>
    <col min="6" max="6" width="12.42578125" style="7" customWidth="1"/>
    <col min="7" max="8" width="15.42578125" style="7" customWidth="1"/>
    <col min="9" max="9" width="3.7109375" style="7" customWidth="1"/>
    <col min="10" max="10" width="12.42578125" style="7" customWidth="1"/>
    <col min="11" max="11" width="13.28515625" style="7" bestFit="1" customWidth="1"/>
    <col min="12" max="12" width="15.140625" style="7" customWidth="1"/>
    <col min="13" max="16" width="11.42578125" style="7" customWidth="1"/>
    <col min="17" max="17" width="14.85546875" style="7" customWidth="1"/>
    <col min="18" max="20" width="11.42578125" style="7" customWidth="1"/>
    <col min="21" max="16384" width="11.42578125" style="7"/>
  </cols>
  <sheetData>
    <row r="1" spans="1:12" ht="49.5" customHeight="1" x14ac:dyDescent="0.25">
      <c r="B1" s="62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x14ac:dyDescent="0.25">
      <c r="B3" s="53"/>
      <c r="C3" s="9"/>
      <c r="D3" s="53"/>
      <c r="E3" s="53"/>
      <c r="F3" s="53"/>
      <c r="G3" s="53"/>
      <c r="H3" s="53"/>
      <c r="I3" s="53"/>
      <c r="J3" s="53"/>
      <c r="K3" s="53"/>
      <c r="L3" s="53"/>
    </row>
    <row r="4" spans="1:12" x14ac:dyDescent="0.25">
      <c r="B4" s="6"/>
      <c r="C4" s="6"/>
      <c r="D4" s="6"/>
      <c r="F4" s="6"/>
      <c r="G4" s="6"/>
      <c r="H4" s="6"/>
      <c r="I4" s="6"/>
      <c r="J4" s="6"/>
      <c r="K4" s="6"/>
      <c r="L4" s="6"/>
    </row>
    <row r="5" spans="1:12" x14ac:dyDescent="0.25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x14ac:dyDescent="0.25">
      <c r="B6" s="63" t="s">
        <v>40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x14ac:dyDescent="0.25">
      <c r="B7" s="63" t="s">
        <v>39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6" customFormat="1" x14ac:dyDescent="0.25">
      <c r="B9" s="5"/>
      <c r="C9" s="54"/>
      <c r="D9" s="54"/>
      <c r="E9" s="54"/>
      <c r="F9" s="5"/>
      <c r="G9" s="54"/>
      <c r="H9" s="54"/>
      <c r="I9" s="54"/>
      <c r="J9" s="54"/>
      <c r="K9" s="54"/>
      <c r="L9" s="54"/>
    </row>
    <row r="10" spans="1:12" s="6" customFormat="1" x14ac:dyDescent="0.25">
      <c r="A10" s="10"/>
      <c r="C10" s="58"/>
      <c r="D10" s="51"/>
      <c r="E10" s="58"/>
      <c r="F10" s="58"/>
      <c r="G10" s="58"/>
      <c r="H10" s="58"/>
      <c r="I10" s="58"/>
      <c r="J10" s="58"/>
      <c r="K10" s="58"/>
      <c r="L10" s="58"/>
    </row>
    <row r="11" spans="1:12" s="6" customFormat="1" x14ac:dyDescent="0.25">
      <c r="B11" s="64" t="s">
        <v>29</v>
      </c>
      <c r="C11" s="64"/>
      <c r="D11" s="64"/>
      <c r="E11" s="11"/>
      <c r="F11" s="64" t="s">
        <v>30</v>
      </c>
      <c r="G11" s="64"/>
      <c r="H11" s="64"/>
      <c r="J11" s="65" t="s">
        <v>31</v>
      </c>
      <c r="K11" s="65"/>
      <c r="L11" s="65"/>
    </row>
    <row r="12" spans="1:12" ht="45" x14ac:dyDescent="0.25">
      <c r="B12" s="1" t="s">
        <v>1</v>
      </c>
      <c r="C12" s="2" t="s">
        <v>42</v>
      </c>
      <c r="D12" s="1" t="s">
        <v>43</v>
      </c>
      <c r="E12" s="3"/>
      <c r="F12" s="1" t="s">
        <v>1</v>
      </c>
      <c r="G12" s="2" t="s">
        <v>44</v>
      </c>
      <c r="H12" s="1" t="s">
        <v>45</v>
      </c>
      <c r="I12" s="4"/>
      <c r="J12" s="1" t="s">
        <v>1</v>
      </c>
      <c r="K12" s="2" t="s">
        <v>33</v>
      </c>
      <c r="L12" s="2" t="s">
        <v>45</v>
      </c>
    </row>
    <row r="13" spans="1:12" ht="26.25" customHeight="1" x14ac:dyDescent="0.25">
      <c r="B13" s="12" t="s">
        <v>2</v>
      </c>
      <c r="C13" s="13">
        <v>0</v>
      </c>
      <c r="D13" s="13">
        <v>0</v>
      </c>
      <c r="E13" s="14"/>
      <c r="F13" s="12" t="s">
        <v>2</v>
      </c>
      <c r="G13" s="13">
        <f>51799043+1597158</f>
        <v>53396201</v>
      </c>
      <c r="H13" s="13">
        <f>51760843+1556153</f>
        <v>53316996</v>
      </c>
      <c r="J13" s="12" t="s">
        <v>2</v>
      </c>
      <c r="K13" s="52">
        <f>+G13-C13</f>
        <v>53396201</v>
      </c>
      <c r="L13" s="52">
        <f>+H13-D13</f>
        <v>53316996</v>
      </c>
    </row>
    <row r="14" spans="1:12" ht="26.25" customHeight="1" x14ac:dyDescent="0.25">
      <c r="B14" s="12" t="s">
        <v>3</v>
      </c>
      <c r="C14" s="13">
        <v>0</v>
      </c>
      <c r="D14" s="13">
        <v>0</v>
      </c>
      <c r="E14" s="14"/>
      <c r="F14" s="12" t="s">
        <v>3</v>
      </c>
      <c r="G14" s="13">
        <f>27670486+1597158</f>
        <v>29267644</v>
      </c>
      <c r="H14" s="13">
        <f>26659141+1556153</f>
        <v>28215294</v>
      </c>
      <c r="J14" s="12" t="s">
        <v>3</v>
      </c>
      <c r="K14" s="52">
        <f t="shared" ref="K14:L27" si="0">+G14-C14</f>
        <v>29267644</v>
      </c>
      <c r="L14" s="52">
        <f t="shared" si="0"/>
        <v>28215294</v>
      </c>
    </row>
    <row r="15" spans="1:12" ht="26.25" customHeight="1" x14ac:dyDescent="0.25">
      <c r="B15" s="12" t="s">
        <v>4</v>
      </c>
      <c r="C15" s="13">
        <v>0</v>
      </c>
      <c r="D15" s="13">
        <v>0</v>
      </c>
      <c r="E15" s="14"/>
      <c r="F15" s="12" t="s">
        <v>4</v>
      </c>
      <c r="G15" s="13">
        <f>28274810+1618905</f>
        <v>29893715</v>
      </c>
      <c r="H15" s="13">
        <f>27607769+1577900</f>
        <v>29185669</v>
      </c>
      <c r="J15" s="12" t="s">
        <v>4</v>
      </c>
      <c r="K15" s="52">
        <f t="shared" si="0"/>
        <v>29893715</v>
      </c>
      <c r="L15" s="52">
        <f t="shared" si="0"/>
        <v>29185669</v>
      </c>
    </row>
    <row r="16" spans="1:12" ht="26.25" customHeight="1" x14ac:dyDescent="0.25">
      <c r="B16" s="12" t="s">
        <v>5</v>
      </c>
      <c r="C16" s="13">
        <v>0</v>
      </c>
      <c r="D16" s="13">
        <v>0</v>
      </c>
      <c r="E16" s="14"/>
      <c r="F16" s="12" t="s">
        <v>5</v>
      </c>
      <c r="G16" s="13">
        <f>25416488+1618905</f>
        <v>27035393</v>
      </c>
      <c r="H16" s="13">
        <f>25219684+1577900</f>
        <v>26797584</v>
      </c>
      <c r="J16" s="12" t="s">
        <v>5</v>
      </c>
      <c r="K16" s="52">
        <f t="shared" si="0"/>
        <v>27035393</v>
      </c>
      <c r="L16" s="52">
        <f t="shared" si="0"/>
        <v>26797584</v>
      </c>
    </row>
    <row r="17" spans="1:17" ht="26.25" customHeight="1" x14ac:dyDescent="0.25">
      <c r="B17" s="12" t="s">
        <v>6</v>
      </c>
      <c r="C17" s="13">
        <v>0</v>
      </c>
      <c r="D17" s="13">
        <v>0</v>
      </c>
      <c r="E17" s="14"/>
      <c r="F17" s="12" t="s">
        <v>6</v>
      </c>
      <c r="G17" s="13">
        <f>23990094+1618905</f>
        <v>25608999</v>
      </c>
      <c r="H17" s="13">
        <f>23417151+1577900</f>
        <v>24995051</v>
      </c>
      <c r="J17" s="12" t="s">
        <v>6</v>
      </c>
      <c r="K17" s="52">
        <f t="shared" si="0"/>
        <v>25608999</v>
      </c>
      <c r="L17" s="52">
        <f t="shared" si="0"/>
        <v>24995051</v>
      </c>
    </row>
    <row r="18" spans="1:17" ht="26.25" customHeight="1" x14ac:dyDescent="0.25">
      <c r="B18" s="12" t="s">
        <v>7</v>
      </c>
      <c r="C18" s="13">
        <v>0</v>
      </c>
      <c r="D18" s="13">
        <v>0</v>
      </c>
      <c r="E18" s="14"/>
      <c r="F18" s="12" t="s">
        <v>7</v>
      </c>
      <c r="G18" s="13">
        <f>82771587+1874740</f>
        <v>84646327</v>
      </c>
      <c r="H18" s="13">
        <f>81928598+1832306</f>
        <v>83760904</v>
      </c>
      <c r="J18" s="12" t="s">
        <v>7</v>
      </c>
      <c r="K18" s="52">
        <f t="shared" si="0"/>
        <v>84646327</v>
      </c>
      <c r="L18" s="52">
        <f t="shared" si="0"/>
        <v>83760904</v>
      </c>
    </row>
    <row r="19" spans="1:17" ht="26.25" customHeight="1" x14ac:dyDescent="0.25">
      <c r="B19" s="12" t="s">
        <v>32</v>
      </c>
      <c r="C19" s="13">
        <v>0</v>
      </c>
      <c r="D19" s="13">
        <v>0</v>
      </c>
      <c r="E19" s="14"/>
      <c r="F19" s="12" t="s">
        <v>32</v>
      </c>
      <c r="G19" s="13">
        <f>20297149+1814592</f>
        <v>22111741</v>
      </c>
      <c r="H19" s="13">
        <f>19984745+1772286</f>
        <v>21757031</v>
      </c>
      <c r="J19" s="12" t="s">
        <v>32</v>
      </c>
      <c r="K19" s="52">
        <f t="shared" si="0"/>
        <v>22111741</v>
      </c>
      <c r="L19" s="52">
        <f t="shared" si="0"/>
        <v>21757031</v>
      </c>
    </row>
    <row r="20" spans="1:17" ht="26.25" customHeight="1" x14ac:dyDescent="0.25">
      <c r="B20" s="12" t="s">
        <v>9</v>
      </c>
      <c r="C20" s="13">
        <v>0</v>
      </c>
      <c r="D20" s="13">
        <v>0</v>
      </c>
      <c r="E20" s="14"/>
      <c r="F20" s="12" t="s">
        <v>9</v>
      </c>
      <c r="G20" s="13">
        <f>27613415+1836338</f>
        <v>29449753</v>
      </c>
      <c r="H20" s="13">
        <f>27485283+1794033</f>
        <v>29279316</v>
      </c>
      <c r="J20" s="12" t="s">
        <v>9</v>
      </c>
      <c r="K20" s="52">
        <f t="shared" si="0"/>
        <v>29449753</v>
      </c>
      <c r="L20" s="52">
        <f t="shared" si="0"/>
        <v>29279316</v>
      </c>
    </row>
    <row r="21" spans="1:17" ht="26.25" customHeight="1" x14ac:dyDescent="0.25">
      <c r="B21" s="12" t="s">
        <v>25</v>
      </c>
      <c r="C21" s="13">
        <v>0</v>
      </c>
      <c r="D21" s="13">
        <v>0</v>
      </c>
      <c r="E21" s="14"/>
      <c r="F21" s="12" t="s">
        <v>25</v>
      </c>
      <c r="G21" s="13">
        <f>23102190+2091214</f>
        <v>25193404</v>
      </c>
      <c r="H21" s="13">
        <f>22928041+2048807</f>
        <v>24976848</v>
      </c>
      <c r="J21" s="12" t="s">
        <v>25</v>
      </c>
      <c r="K21" s="52">
        <f t="shared" si="0"/>
        <v>25193404</v>
      </c>
      <c r="L21" s="52">
        <f t="shared" si="0"/>
        <v>24976848</v>
      </c>
    </row>
    <row r="22" spans="1:17" ht="26.25" customHeight="1" x14ac:dyDescent="0.25">
      <c r="B22" s="12" t="s">
        <v>10</v>
      </c>
      <c r="C22" s="13">
        <v>0</v>
      </c>
      <c r="D22" s="13">
        <v>0</v>
      </c>
      <c r="E22" s="14"/>
      <c r="F22" s="12" t="s">
        <v>10</v>
      </c>
      <c r="G22" s="13">
        <f>51804469+2151362</f>
        <v>53955831</v>
      </c>
      <c r="H22" s="13">
        <f>51423944+2108826</f>
        <v>53532770</v>
      </c>
      <c r="J22" s="12" t="s">
        <v>10</v>
      </c>
      <c r="K22" s="52">
        <f t="shared" si="0"/>
        <v>53955831</v>
      </c>
      <c r="L22" s="52">
        <f t="shared" si="0"/>
        <v>53532770</v>
      </c>
    </row>
    <row r="23" spans="1:17" ht="26.25" customHeight="1" x14ac:dyDescent="0.25">
      <c r="A23" s="7"/>
      <c r="B23" s="12" t="s">
        <v>11</v>
      </c>
      <c r="C23" s="13">
        <v>0</v>
      </c>
      <c r="D23" s="13">
        <v>0</v>
      </c>
      <c r="E23" s="14"/>
      <c r="F23" s="12" t="s">
        <v>11</v>
      </c>
      <c r="G23" s="13">
        <f>28375378+1749275</f>
        <v>30124653</v>
      </c>
      <c r="H23" s="13">
        <f>27948591+1708239</f>
        <v>29656830</v>
      </c>
      <c r="J23" s="12" t="s">
        <v>11</v>
      </c>
      <c r="K23" s="52">
        <f t="shared" si="0"/>
        <v>30124653</v>
      </c>
      <c r="L23" s="52">
        <f t="shared" si="0"/>
        <v>29656830</v>
      </c>
    </row>
    <row r="24" spans="1:17" ht="26.25" customHeight="1" x14ac:dyDescent="0.25">
      <c r="A24" s="7"/>
      <c r="B24" s="12" t="s">
        <v>12</v>
      </c>
      <c r="C24" s="13">
        <v>0</v>
      </c>
      <c r="D24" s="13">
        <v>0</v>
      </c>
      <c r="E24" s="14"/>
      <c r="F24" s="12" t="s">
        <v>12</v>
      </c>
      <c r="G24" s="13">
        <f>26928690+1817038</f>
        <v>28745728</v>
      </c>
      <c r="H24" s="13">
        <f>25253018+1775804</f>
        <v>27028822</v>
      </c>
      <c r="J24" s="12" t="s">
        <v>12</v>
      </c>
      <c r="K24" s="52">
        <f t="shared" si="0"/>
        <v>28745728</v>
      </c>
      <c r="L24" s="52">
        <f t="shared" si="0"/>
        <v>27028822</v>
      </c>
    </row>
    <row r="25" spans="1:17" ht="26.25" customHeight="1" x14ac:dyDescent="0.25">
      <c r="A25" s="7"/>
      <c r="B25" s="12" t="s">
        <v>13</v>
      </c>
      <c r="C25" s="13">
        <v>0</v>
      </c>
      <c r="D25" s="13">
        <v>0</v>
      </c>
      <c r="E25" s="14"/>
      <c r="F25" s="12" t="s">
        <v>13</v>
      </c>
      <c r="G25" s="13">
        <f>51891195+2048424</f>
        <v>53939619</v>
      </c>
      <c r="H25" s="13">
        <f>51728756+2004875</f>
        <v>53733631</v>
      </c>
      <c r="J25" s="12" t="s">
        <v>13</v>
      </c>
      <c r="K25" s="52">
        <f t="shared" si="0"/>
        <v>53939619</v>
      </c>
      <c r="L25" s="52">
        <f t="shared" si="0"/>
        <v>53733631</v>
      </c>
    </row>
    <row r="26" spans="1:17" ht="26.25" customHeight="1" x14ac:dyDescent="0.25">
      <c r="A26" s="7"/>
      <c r="B26" s="12" t="s">
        <v>14</v>
      </c>
      <c r="C26" s="13">
        <v>0</v>
      </c>
      <c r="D26" s="13">
        <v>0</v>
      </c>
      <c r="E26" s="14"/>
      <c r="F26" s="12" t="s">
        <v>14</v>
      </c>
      <c r="G26" s="13">
        <f>14218387+1953054</f>
        <v>16171441</v>
      </c>
      <c r="H26" s="13">
        <f>13646632+1909505</f>
        <v>15556137</v>
      </c>
      <c r="J26" s="12" t="s">
        <v>14</v>
      </c>
      <c r="K26" s="52">
        <f t="shared" si="0"/>
        <v>16171441</v>
      </c>
      <c r="L26" s="52">
        <f t="shared" si="0"/>
        <v>15556137</v>
      </c>
    </row>
    <row r="27" spans="1:17" ht="26.25" customHeight="1" x14ac:dyDescent="0.25">
      <c r="A27" s="7"/>
      <c r="B27" s="12" t="s">
        <v>15</v>
      </c>
      <c r="C27" s="13">
        <v>0</v>
      </c>
      <c r="D27" s="13">
        <v>0</v>
      </c>
      <c r="E27" s="14"/>
      <c r="F27" s="12" t="s">
        <v>15</v>
      </c>
      <c r="G27" s="13">
        <f>7612286+1763334</f>
        <v>9375620</v>
      </c>
      <c r="H27" s="13">
        <f>7577364+1722100</f>
        <v>9299464</v>
      </c>
      <c r="J27" s="12" t="s">
        <v>15</v>
      </c>
      <c r="K27" s="52">
        <f t="shared" si="0"/>
        <v>9375620</v>
      </c>
      <c r="L27" s="52">
        <f t="shared" si="0"/>
        <v>9299464</v>
      </c>
    </row>
    <row r="28" spans="1:17" ht="26.25" customHeight="1" x14ac:dyDescent="0.25">
      <c r="A28" s="7"/>
      <c r="B28" s="17" t="s">
        <v>16</v>
      </c>
      <c r="C28" s="18">
        <f>SUM(C13:C27)</f>
        <v>0</v>
      </c>
      <c r="D28" s="18">
        <f>SUM(D13:D27)</f>
        <v>0</v>
      </c>
      <c r="E28" s="19"/>
      <c r="F28" s="17" t="s">
        <v>16</v>
      </c>
      <c r="G28" s="18">
        <f>SUM(G13:G27)</f>
        <v>518916069</v>
      </c>
      <c r="H28" s="18">
        <f>SUM(H13:H27)</f>
        <v>511092347</v>
      </c>
      <c r="J28" s="17" t="s">
        <v>16</v>
      </c>
      <c r="K28" s="18">
        <f>SUM(K13:K27)</f>
        <v>518916069</v>
      </c>
      <c r="L28" s="18">
        <f>SUM(L13:L27)</f>
        <v>511092347</v>
      </c>
    </row>
    <row r="29" spans="1:17" ht="26.25" customHeight="1" x14ac:dyDescent="0.25">
      <c r="A29" s="7"/>
      <c r="B29" s="12" t="s">
        <v>17</v>
      </c>
      <c r="C29" s="13">
        <v>0</v>
      </c>
      <c r="D29" s="13">
        <v>0</v>
      </c>
      <c r="E29" s="14"/>
      <c r="F29" s="12" t="s">
        <v>17</v>
      </c>
      <c r="G29" s="13">
        <f>41575175+1852993+1</f>
        <v>43428169</v>
      </c>
      <c r="H29" s="13">
        <f>40761474+1810559+1</f>
        <v>42572034</v>
      </c>
      <c r="J29" s="12" t="s">
        <v>17</v>
      </c>
      <c r="K29" s="52">
        <f>+G29-C29</f>
        <v>43428169</v>
      </c>
      <c r="L29" s="52">
        <f>+H29-D29</f>
        <v>42572034</v>
      </c>
    </row>
    <row r="30" spans="1:17" ht="26.25" customHeight="1" x14ac:dyDescent="0.25">
      <c r="A30" s="7"/>
      <c r="B30" s="17" t="s">
        <v>18</v>
      </c>
      <c r="C30" s="18">
        <f>+C28+C29</f>
        <v>0</v>
      </c>
      <c r="D30" s="18">
        <f>+D28+D29</f>
        <v>0</v>
      </c>
      <c r="E30" s="19"/>
      <c r="F30" s="17" t="s">
        <v>18</v>
      </c>
      <c r="G30" s="18">
        <f>+G28+G29</f>
        <v>562344238</v>
      </c>
      <c r="H30" s="18">
        <f>+H28+H29</f>
        <v>553664381</v>
      </c>
      <c r="J30" s="17" t="s">
        <v>18</v>
      </c>
      <c r="K30" s="18">
        <f>+K28+K29</f>
        <v>562344238</v>
      </c>
      <c r="L30" s="18">
        <f>+L28+L29</f>
        <v>553664381</v>
      </c>
    </row>
    <row r="31" spans="1:17" ht="26.25" customHeight="1" x14ac:dyDescent="0.25">
      <c r="A31" s="7"/>
      <c r="B31" s="12" t="s">
        <v>19</v>
      </c>
      <c r="C31" s="13">
        <v>0</v>
      </c>
      <c r="D31" s="13">
        <v>0</v>
      </c>
      <c r="E31" s="14"/>
      <c r="F31" s="12" t="s">
        <v>27</v>
      </c>
      <c r="G31" s="13">
        <f>562438192-562344238</f>
        <v>93954</v>
      </c>
      <c r="H31" s="13"/>
      <c r="J31" s="23"/>
      <c r="K31" s="24"/>
      <c r="L31" s="24"/>
    </row>
    <row r="32" spans="1:17" ht="26.25" customHeight="1" x14ac:dyDescent="0.25">
      <c r="A32" s="7"/>
      <c r="B32" s="17" t="s">
        <v>22</v>
      </c>
      <c r="C32" s="18">
        <f>+C31+C30</f>
        <v>0</v>
      </c>
      <c r="D32" s="18">
        <f>+D31+D30</f>
        <v>0</v>
      </c>
      <c r="E32" s="19"/>
      <c r="F32" s="17" t="s">
        <v>23</v>
      </c>
      <c r="G32" s="18">
        <f>+G31+G30</f>
        <v>562438192</v>
      </c>
      <c r="H32" s="18">
        <f>+H31+H30</f>
        <v>553664381</v>
      </c>
      <c r="J32" s="25"/>
      <c r="K32" s="26"/>
      <c r="L32" s="26"/>
      <c r="Q32" s="29"/>
    </row>
    <row r="33" spans="1:11" x14ac:dyDescent="0.25">
      <c r="A33" s="7"/>
      <c r="C33" s="16"/>
      <c r="D33" s="16"/>
      <c r="G33" s="6"/>
    </row>
    <row r="34" spans="1:11" x14ac:dyDescent="0.25">
      <c r="B34" s="6"/>
      <c r="C34" s="6"/>
      <c r="D34" s="6"/>
      <c r="F34" s="6"/>
      <c r="G34" s="41"/>
      <c r="H34" s="41"/>
      <c r="I34" s="6"/>
      <c r="J34" s="6"/>
      <c r="K34" s="6"/>
    </row>
    <row r="35" spans="1:11" x14ac:dyDescent="0.25">
      <c r="B35" s="6"/>
      <c r="C35" s="41"/>
      <c r="D35" s="41"/>
      <c r="F35" s="6"/>
      <c r="G35" s="41"/>
      <c r="H35" s="41"/>
      <c r="I35" s="6"/>
      <c r="J35" s="6"/>
      <c r="K35" s="6"/>
    </row>
    <row r="37" spans="1:11" x14ac:dyDescent="0.25">
      <c r="A37" s="7"/>
      <c r="H37" s="29"/>
    </row>
    <row r="38" spans="1:11" x14ac:dyDescent="0.25">
      <c r="A38" s="7"/>
      <c r="G38" s="16"/>
    </row>
    <row r="39" spans="1:11" x14ac:dyDescent="0.25">
      <c r="A39" s="7"/>
      <c r="E39" s="7"/>
      <c r="G39" s="16"/>
    </row>
  </sheetData>
  <mergeCells count="7">
    <mergeCell ref="B1:L1"/>
    <mergeCell ref="B5:L5"/>
    <mergeCell ref="B7:L7"/>
    <mergeCell ref="B11:D11"/>
    <mergeCell ref="F11:H11"/>
    <mergeCell ref="J11:L11"/>
    <mergeCell ref="B6:L6"/>
  </mergeCells>
  <pageMargins left="0.25" right="0.25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4"/>
  <sheetViews>
    <sheetView zoomScale="90" zoomScaleNormal="90" zoomScaleSheetLayoutView="100" workbookViewId="0">
      <selection activeCell="B1" sqref="B1:L32"/>
    </sheetView>
  </sheetViews>
  <sheetFormatPr baseColWidth="10" defaultRowHeight="15" x14ac:dyDescent="0.25"/>
  <cols>
    <col min="1" max="1" width="11.42578125" style="6"/>
    <col min="2" max="2" width="12.42578125" style="7" customWidth="1"/>
    <col min="3" max="3" width="14.7109375" style="7" customWidth="1"/>
    <col min="4" max="4" width="15.140625" style="7" customWidth="1"/>
    <col min="5" max="5" width="3.85546875" style="11" customWidth="1"/>
    <col min="6" max="6" width="12.42578125" style="7" customWidth="1"/>
    <col min="7" max="8" width="15.42578125" style="7" customWidth="1"/>
    <col min="9" max="9" width="3.7109375" style="7" customWidth="1"/>
    <col min="10" max="10" width="12.42578125" style="7" customWidth="1"/>
    <col min="11" max="11" width="13.28515625" style="7" bestFit="1" customWidth="1"/>
    <col min="12" max="12" width="15.140625" style="7" customWidth="1"/>
    <col min="13" max="13" width="11.42578125" style="7" customWidth="1"/>
    <col min="14" max="14" width="11.42578125" style="7" hidden="1" customWidth="1"/>
    <col min="15" max="15" width="16.5703125" style="7" hidden="1" customWidth="1"/>
    <col min="16" max="16" width="14" style="7" hidden="1" customWidth="1"/>
    <col min="17" max="17" width="15.7109375" style="7" hidden="1" customWidth="1"/>
    <col min="18" max="18" width="14.7109375" style="7" hidden="1" customWidth="1"/>
    <col min="19" max="19" width="14.28515625" style="7" hidden="1" customWidth="1"/>
    <col min="20" max="20" width="11.42578125" style="7" hidden="1" customWidth="1"/>
    <col min="21" max="21" width="15.42578125" style="7" hidden="1" customWidth="1"/>
    <col min="22" max="22" width="14.85546875" style="7" customWidth="1"/>
    <col min="23" max="25" width="11.42578125" style="7" customWidth="1"/>
    <col min="26" max="16384" width="11.42578125" style="7"/>
  </cols>
  <sheetData>
    <row r="1" spans="1:19" ht="49.5" customHeight="1" x14ac:dyDescent="0.25">
      <c r="B1" s="62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9" x14ac:dyDescent="0.25">
      <c r="B3" s="8"/>
      <c r="C3" s="9"/>
      <c r="D3" s="8"/>
      <c r="E3" s="8"/>
      <c r="F3" s="8"/>
      <c r="G3" s="8"/>
      <c r="H3" s="8"/>
      <c r="I3" s="8"/>
      <c r="J3" s="8"/>
      <c r="K3" s="8"/>
      <c r="L3" s="8"/>
    </row>
    <row r="4" spans="1:19" x14ac:dyDescent="0.25">
      <c r="B4" s="6"/>
      <c r="C4" s="6"/>
      <c r="D4" s="6"/>
      <c r="F4" s="6"/>
      <c r="G4" s="6"/>
      <c r="H4" s="6"/>
      <c r="I4" s="6"/>
      <c r="J4" s="6"/>
      <c r="K4" s="6"/>
      <c r="L4" s="6"/>
    </row>
    <row r="5" spans="1:19" x14ac:dyDescent="0.25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9" x14ac:dyDescent="0.25">
      <c r="B6" s="63" t="s">
        <v>38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9" x14ac:dyDescent="0.25">
      <c r="B7" s="63" t="s">
        <v>39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9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9" s="6" customFormat="1" x14ac:dyDescent="0.25">
      <c r="B9" s="5"/>
      <c r="C9" s="57"/>
      <c r="D9" s="57"/>
      <c r="E9" s="30"/>
      <c r="F9" s="5"/>
      <c r="G9" s="50"/>
      <c r="H9" s="50"/>
      <c r="I9" s="30"/>
      <c r="J9" s="30"/>
      <c r="K9" s="30"/>
      <c r="L9" s="30"/>
      <c r="O9" s="49" t="s">
        <v>37</v>
      </c>
      <c r="P9" s="49"/>
      <c r="Q9" s="49"/>
    </row>
    <row r="10" spans="1:19" s="6" customFormat="1" x14ac:dyDescent="0.25">
      <c r="A10" s="10"/>
      <c r="C10" s="57"/>
      <c r="D10" s="51"/>
      <c r="E10" s="30"/>
      <c r="F10" s="30"/>
      <c r="G10" s="30"/>
      <c r="H10" s="30"/>
      <c r="I10" s="30"/>
      <c r="J10" s="30"/>
      <c r="K10" s="30"/>
      <c r="L10" s="30"/>
      <c r="O10" s="6" t="s">
        <v>21</v>
      </c>
      <c r="P10" s="42">
        <v>1.0225</v>
      </c>
    </row>
    <row r="11" spans="1:19" s="6" customFormat="1" ht="15.75" thickBot="1" x14ac:dyDescent="0.3">
      <c r="B11" s="64" t="s">
        <v>29</v>
      </c>
      <c r="C11" s="64"/>
      <c r="D11" s="64"/>
      <c r="E11" s="11"/>
      <c r="F11" s="64" t="s">
        <v>30</v>
      </c>
      <c r="G11" s="64"/>
      <c r="H11" s="64"/>
      <c r="J11" s="65" t="s">
        <v>31</v>
      </c>
      <c r="K11" s="65"/>
      <c r="L11" s="65"/>
    </row>
    <row r="12" spans="1:19" ht="45" x14ac:dyDescent="0.25">
      <c r="B12" s="1" t="s">
        <v>1</v>
      </c>
      <c r="C12" s="2" t="s">
        <v>42</v>
      </c>
      <c r="D12" s="1" t="s">
        <v>43</v>
      </c>
      <c r="E12" s="3"/>
      <c r="F12" s="1" t="s">
        <v>1</v>
      </c>
      <c r="G12" s="2" t="s">
        <v>44</v>
      </c>
      <c r="H12" s="1" t="s">
        <v>45</v>
      </c>
      <c r="I12" s="4"/>
      <c r="J12" s="1" t="s">
        <v>1</v>
      </c>
      <c r="K12" s="2" t="s">
        <v>33</v>
      </c>
      <c r="L12" s="2" t="s">
        <v>45</v>
      </c>
      <c r="O12" s="40" t="s">
        <v>0</v>
      </c>
      <c r="P12" s="59" t="s">
        <v>42</v>
      </c>
      <c r="Q12" s="60" t="s">
        <v>43</v>
      </c>
      <c r="R12" s="34" t="s">
        <v>35</v>
      </c>
      <c r="S12" s="35" t="s">
        <v>36</v>
      </c>
    </row>
    <row r="13" spans="1:19" ht="26.25" customHeight="1" x14ac:dyDescent="0.25">
      <c r="B13" s="12" t="s">
        <v>2</v>
      </c>
      <c r="C13" s="13">
        <v>95840282.879999995</v>
      </c>
      <c r="D13" s="13">
        <v>95380168.104999989</v>
      </c>
      <c r="E13" s="14"/>
      <c r="F13" s="12" t="s">
        <v>2</v>
      </c>
      <c r="G13" s="13">
        <f>101572961+2456851</f>
        <v>104029812</v>
      </c>
      <c r="H13" s="13">
        <f>101260612+2378291</f>
        <v>103638903</v>
      </c>
      <c r="J13" s="12" t="s">
        <v>2</v>
      </c>
      <c r="K13" s="52">
        <f>+G13-C13</f>
        <v>8189529.1200000048</v>
      </c>
      <c r="L13" s="52">
        <f>+H13-D13</f>
        <v>8258734.8950000107</v>
      </c>
      <c r="O13" s="15" t="s">
        <v>2</v>
      </c>
      <c r="P13" s="44">
        <v>93731328</v>
      </c>
      <c r="Q13" s="45">
        <v>93281338</v>
      </c>
      <c r="R13" s="36">
        <f>+P13*$P$10</f>
        <v>95840282.879999995</v>
      </c>
      <c r="S13" s="37">
        <f>+Q13*$P$10</f>
        <v>95380168.104999989</v>
      </c>
    </row>
    <row r="14" spans="1:19" ht="26.25" customHeight="1" x14ac:dyDescent="0.25">
      <c r="B14" s="12" t="s">
        <v>3</v>
      </c>
      <c r="C14" s="13">
        <v>63723690.805</v>
      </c>
      <c r="D14" s="13">
        <v>62509814.592500001</v>
      </c>
      <c r="E14" s="14"/>
      <c r="F14" s="12" t="s">
        <v>3</v>
      </c>
      <c r="G14" s="13">
        <f>40562999+2907332</f>
        <v>43470331</v>
      </c>
      <c r="H14" s="13">
        <f>39771926+2846665</f>
        <v>42618591</v>
      </c>
      <c r="J14" s="12" t="s">
        <v>3</v>
      </c>
      <c r="K14" s="52">
        <f t="shared" ref="K14:L27" si="0">+G14-C14</f>
        <v>-20253359.805</v>
      </c>
      <c r="L14" s="52">
        <f t="shared" si="0"/>
        <v>-19891223.592500001</v>
      </c>
      <c r="O14" s="15" t="s">
        <v>3</v>
      </c>
      <c r="P14" s="44">
        <v>62321458</v>
      </c>
      <c r="Q14" s="45">
        <v>61134293</v>
      </c>
      <c r="R14" s="36">
        <f t="shared" ref="R14:S27" si="1">+P14*$P$10</f>
        <v>63723690.805</v>
      </c>
      <c r="S14" s="37">
        <f t="shared" si="1"/>
        <v>62509814.592500001</v>
      </c>
    </row>
    <row r="15" spans="1:19" ht="26.25" customHeight="1" x14ac:dyDescent="0.25">
      <c r="B15" s="12" t="s">
        <v>4</v>
      </c>
      <c r="C15" s="13">
        <v>96893962.99499999</v>
      </c>
      <c r="D15" s="13">
        <v>95511873.262500003</v>
      </c>
      <c r="E15" s="14"/>
      <c r="F15" s="12" t="s">
        <v>4</v>
      </c>
      <c r="G15" s="13">
        <f>80525492+2887174</f>
        <v>83412666</v>
      </c>
      <c r="H15" s="13">
        <f>79251752+2825530</f>
        <v>82077282</v>
      </c>
      <c r="J15" s="12" t="s">
        <v>4</v>
      </c>
      <c r="K15" s="52">
        <f t="shared" si="0"/>
        <v>-13481296.99499999</v>
      </c>
      <c r="L15" s="52">
        <f t="shared" si="0"/>
        <v>-13434591.262500003</v>
      </c>
      <c r="O15" s="15" t="s">
        <v>4</v>
      </c>
      <c r="P15" s="44">
        <v>94761822</v>
      </c>
      <c r="Q15" s="45">
        <v>93410145</v>
      </c>
      <c r="R15" s="36">
        <f t="shared" si="1"/>
        <v>96893962.99499999</v>
      </c>
      <c r="S15" s="37">
        <f t="shared" si="1"/>
        <v>95511873.262500003</v>
      </c>
    </row>
    <row r="16" spans="1:19" ht="26.25" customHeight="1" x14ac:dyDescent="0.25">
      <c r="B16" s="12" t="s">
        <v>5</v>
      </c>
      <c r="C16" s="13">
        <v>56983183.6875</v>
      </c>
      <c r="D16" s="13">
        <v>52432910.424999997</v>
      </c>
      <c r="E16" s="14"/>
      <c r="F16" s="12" t="s">
        <v>5</v>
      </c>
      <c r="G16" s="13">
        <f>56985090+2678690</f>
        <v>59663780</v>
      </c>
      <c r="H16" s="13">
        <f>56247593+2616906</f>
        <v>58864499</v>
      </c>
      <c r="J16" s="12" t="s">
        <v>5</v>
      </c>
      <c r="K16" s="52">
        <f t="shared" si="0"/>
        <v>2680596.3125</v>
      </c>
      <c r="L16" s="52">
        <f t="shared" si="0"/>
        <v>6431588.575000003</v>
      </c>
      <c r="O16" s="15" t="s">
        <v>5</v>
      </c>
      <c r="P16" s="44">
        <v>55729275</v>
      </c>
      <c r="Q16" s="45">
        <v>51279130</v>
      </c>
      <c r="R16" s="36">
        <f t="shared" si="1"/>
        <v>56983183.6875</v>
      </c>
      <c r="S16" s="37">
        <f t="shared" si="1"/>
        <v>52432910.424999997</v>
      </c>
    </row>
    <row r="17" spans="1:22" ht="26.25" customHeight="1" x14ac:dyDescent="0.25">
      <c r="B17" s="12" t="s">
        <v>6</v>
      </c>
      <c r="C17" s="13">
        <v>140838052.85749999</v>
      </c>
      <c r="D17" s="13">
        <v>137819045.9425</v>
      </c>
      <c r="E17" s="14"/>
      <c r="F17" s="12" t="s">
        <v>6</v>
      </c>
      <c r="G17" s="13">
        <f>129500062+7589475</f>
        <v>137089537</v>
      </c>
      <c r="H17" s="13">
        <f>126542211+7512095</f>
        <v>134054306</v>
      </c>
      <c r="J17" s="12" t="s">
        <v>6</v>
      </c>
      <c r="K17" s="52">
        <f t="shared" si="0"/>
        <v>-3748515.8574999869</v>
      </c>
      <c r="L17" s="52">
        <f t="shared" si="0"/>
        <v>-3764739.9424999952</v>
      </c>
      <c r="O17" s="15" t="s">
        <v>6</v>
      </c>
      <c r="P17" s="44">
        <v>137738927</v>
      </c>
      <c r="Q17" s="45">
        <v>134786353</v>
      </c>
      <c r="R17" s="36">
        <f t="shared" si="1"/>
        <v>140838052.85749999</v>
      </c>
      <c r="S17" s="37">
        <f t="shared" si="1"/>
        <v>137819045.9425</v>
      </c>
    </row>
    <row r="18" spans="1:22" ht="26.25" customHeight="1" x14ac:dyDescent="0.25">
      <c r="B18" s="12" t="s">
        <v>7</v>
      </c>
      <c r="C18" s="13">
        <v>182172426.19499999</v>
      </c>
      <c r="D18" s="13">
        <v>180168066.47999999</v>
      </c>
      <c r="E18" s="14"/>
      <c r="F18" s="12" t="s">
        <v>7</v>
      </c>
      <c r="G18" s="13">
        <f>126935655+19458856</f>
        <v>146394511</v>
      </c>
      <c r="H18" s="13">
        <f>126124174+19335688</f>
        <v>145459862</v>
      </c>
      <c r="J18" s="12" t="s">
        <v>7</v>
      </c>
      <c r="K18" s="52">
        <f t="shared" si="0"/>
        <v>-35777915.194999993</v>
      </c>
      <c r="L18" s="52">
        <f t="shared" si="0"/>
        <v>-34708204.479999989</v>
      </c>
      <c r="O18" s="15" t="s">
        <v>7</v>
      </c>
      <c r="P18" s="44">
        <v>178163742</v>
      </c>
      <c r="Q18" s="45">
        <v>176203488</v>
      </c>
      <c r="R18" s="36">
        <f t="shared" si="1"/>
        <v>182172426.19499999</v>
      </c>
      <c r="S18" s="37">
        <f t="shared" si="1"/>
        <v>180168066.47999999</v>
      </c>
    </row>
    <row r="19" spans="1:22" ht="26.25" customHeight="1" x14ac:dyDescent="0.25">
      <c r="B19" s="12" t="s">
        <v>32</v>
      </c>
      <c r="C19" s="13">
        <v>80255396.162499994</v>
      </c>
      <c r="D19" s="13">
        <v>79035167.157499999</v>
      </c>
      <c r="E19" s="14"/>
      <c r="F19" s="12" t="s">
        <v>32</v>
      </c>
      <c r="G19" s="13">
        <f>60803117+7631094</f>
        <v>68434211</v>
      </c>
      <c r="H19" s="13">
        <f>59914538+7465417</f>
        <v>67379955</v>
      </c>
      <c r="J19" s="12" t="s">
        <v>32</v>
      </c>
      <c r="K19" s="52">
        <f t="shared" si="0"/>
        <v>-11821185.162499994</v>
      </c>
      <c r="L19" s="52">
        <f t="shared" si="0"/>
        <v>-11655212.157499999</v>
      </c>
      <c r="O19" s="15" t="s">
        <v>8</v>
      </c>
      <c r="P19" s="44">
        <v>78489385</v>
      </c>
      <c r="Q19" s="45">
        <v>77296007</v>
      </c>
      <c r="R19" s="36">
        <f t="shared" si="1"/>
        <v>80255396.162499994</v>
      </c>
      <c r="S19" s="37">
        <f t="shared" si="1"/>
        <v>79035167.157499999</v>
      </c>
    </row>
    <row r="20" spans="1:22" ht="26.25" customHeight="1" x14ac:dyDescent="0.25">
      <c r="B20" s="12" t="s">
        <v>9</v>
      </c>
      <c r="C20" s="13">
        <v>108036966.5625</v>
      </c>
      <c r="D20" s="13">
        <v>106932951.84</v>
      </c>
      <c r="E20" s="14"/>
      <c r="F20" s="12" t="s">
        <v>9</v>
      </c>
      <c r="G20" s="13">
        <f>91407874+5604419</f>
        <v>97012293</v>
      </c>
      <c r="H20" s="13">
        <f>90692518+5372720</f>
        <v>96065238</v>
      </c>
      <c r="J20" s="12" t="s">
        <v>9</v>
      </c>
      <c r="K20" s="52">
        <f t="shared" si="0"/>
        <v>-11024673.5625</v>
      </c>
      <c r="L20" s="52">
        <f t="shared" si="0"/>
        <v>-10867713.840000004</v>
      </c>
      <c r="O20" s="15" t="s">
        <v>9</v>
      </c>
      <c r="P20" s="44">
        <v>105659625</v>
      </c>
      <c r="Q20" s="45">
        <v>104579904</v>
      </c>
      <c r="R20" s="36">
        <f t="shared" si="1"/>
        <v>108036966.5625</v>
      </c>
      <c r="S20" s="37">
        <f t="shared" si="1"/>
        <v>106932951.84</v>
      </c>
    </row>
    <row r="21" spans="1:22" ht="26.25" customHeight="1" x14ac:dyDescent="0.25">
      <c r="B21" s="12" t="s">
        <v>25</v>
      </c>
      <c r="C21" s="13">
        <v>45688876.704999998</v>
      </c>
      <c r="D21" s="13">
        <v>44538318.805</v>
      </c>
      <c r="E21" s="14"/>
      <c r="F21" s="12" t="s">
        <v>25</v>
      </c>
      <c r="G21" s="13">
        <f>62804018+5683798</f>
        <v>68487816</v>
      </c>
      <c r="H21" s="13">
        <f>62213800+5360161</f>
        <v>67573961</v>
      </c>
      <c r="J21" s="12" t="s">
        <v>25</v>
      </c>
      <c r="K21" s="52">
        <f t="shared" ref="K21" si="2">+G21-C21</f>
        <v>22798939.295000002</v>
      </c>
      <c r="L21" s="52">
        <f t="shared" ref="L21" si="3">+H21-D21</f>
        <v>23035642.195</v>
      </c>
      <c r="O21" s="15" t="s">
        <v>26</v>
      </c>
      <c r="P21" s="44">
        <v>44683498</v>
      </c>
      <c r="Q21" s="45">
        <v>43558258</v>
      </c>
      <c r="R21" s="36">
        <f t="shared" si="1"/>
        <v>45688876.704999998</v>
      </c>
      <c r="S21" s="37">
        <f t="shared" si="1"/>
        <v>44538318.805</v>
      </c>
    </row>
    <row r="22" spans="1:22" ht="26.25" customHeight="1" x14ac:dyDescent="0.25">
      <c r="B22" s="12" t="s">
        <v>10</v>
      </c>
      <c r="C22" s="13">
        <v>131643598.91</v>
      </c>
      <c r="D22" s="13">
        <v>129993144.84999999</v>
      </c>
      <c r="E22" s="14"/>
      <c r="F22" s="12" t="s">
        <v>10</v>
      </c>
      <c r="G22" s="13">
        <f>110537379+10477589</f>
        <v>121014968</v>
      </c>
      <c r="H22" s="13">
        <f>109926081+10204643</f>
        <v>120130724</v>
      </c>
      <c r="J22" s="12" t="s">
        <v>10</v>
      </c>
      <c r="K22" s="52">
        <f t="shared" si="0"/>
        <v>-10628630.909999996</v>
      </c>
      <c r="L22" s="52">
        <f t="shared" si="0"/>
        <v>-9862420.849999994</v>
      </c>
      <c r="O22" s="15" t="s">
        <v>10</v>
      </c>
      <c r="P22" s="44">
        <v>128746796</v>
      </c>
      <c r="Q22" s="45">
        <v>127132660</v>
      </c>
      <c r="R22" s="36">
        <f t="shared" si="1"/>
        <v>131643598.91</v>
      </c>
      <c r="S22" s="37">
        <f t="shared" si="1"/>
        <v>129993144.84999999</v>
      </c>
    </row>
    <row r="23" spans="1:22" ht="26.25" customHeight="1" x14ac:dyDescent="0.25">
      <c r="A23" s="7"/>
      <c r="B23" s="12" t="s">
        <v>11</v>
      </c>
      <c r="C23" s="13">
        <v>154535779.83249998</v>
      </c>
      <c r="D23" s="13">
        <v>152651901.29249999</v>
      </c>
      <c r="E23" s="14"/>
      <c r="F23" s="12" t="s">
        <v>11</v>
      </c>
      <c r="G23" s="13">
        <f>140089893+8933843</f>
        <v>149023736</v>
      </c>
      <c r="H23" s="13">
        <f>138449835+8741446</f>
        <v>147191281</v>
      </c>
      <c r="J23" s="12" t="s">
        <v>11</v>
      </c>
      <c r="K23" s="52">
        <f t="shared" si="0"/>
        <v>-5512043.8324999809</v>
      </c>
      <c r="L23" s="52">
        <f t="shared" si="0"/>
        <v>-5460620.2924999893</v>
      </c>
      <c r="O23" s="15" t="s">
        <v>11</v>
      </c>
      <c r="P23" s="44">
        <v>151135237</v>
      </c>
      <c r="Q23" s="45">
        <v>149292813</v>
      </c>
      <c r="R23" s="36">
        <f t="shared" si="1"/>
        <v>154535779.83249998</v>
      </c>
      <c r="S23" s="37">
        <f t="shared" si="1"/>
        <v>152651901.29249999</v>
      </c>
    </row>
    <row r="24" spans="1:22" ht="26.25" customHeight="1" x14ac:dyDescent="0.25">
      <c r="A24" s="7"/>
      <c r="B24" s="12" t="s">
        <v>12</v>
      </c>
      <c r="C24" s="13">
        <v>115457845.17999999</v>
      </c>
      <c r="D24" s="13">
        <v>113568143.5025</v>
      </c>
      <c r="E24" s="14"/>
      <c r="F24" s="12" t="s">
        <v>12</v>
      </c>
      <c r="G24" s="13">
        <f>105436158+18358822</f>
        <v>123794980</v>
      </c>
      <c r="H24" s="13">
        <f>103300994+18258446</f>
        <v>121559440</v>
      </c>
      <c r="J24" s="12" t="s">
        <v>12</v>
      </c>
      <c r="K24" s="52">
        <f t="shared" si="0"/>
        <v>8337134.8200000077</v>
      </c>
      <c r="L24" s="52">
        <f t="shared" si="0"/>
        <v>7991296.4975000024</v>
      </c>
      <c r="O24" s="15" t="s">
        <v>12</v>
      </c>
      <c r="P24" s="44">
        <v>112917208</v>
      </c>
      <c r="Q24" s="45">
        <v>111069089</v>
      </c>
      <c r="R24" s="36">
        <f t="shared" si="1"/>
        <v>115457845.17999999</v>
      </c>
      <c r="S24" s="37">
        <f t="shared" si="1"/>
        <v>113568143.5025</v>
      </c>
    </row>
    <row r="25" spans="1:22" ht="26.25" customHeight="1" x14ac:dyDescent="0.25">
      <c r="A25" s="7"/>
      <c r="B25" s="12" t="s">
        <v>13</v>
      </c>
      <c r="C25" s="13">
        <v>182273160.84999999</v>
      </c>
      <c r="D25" s="13">
        <v>180518140.82749999</v>
      </c>
      <c r="E25" s="14"/>
      <c r="F25" s="12" t="s">
        <v>13</v>
      </c>
      <c r="G25" s="13">
        <f>208728145+16947296</f>
        <v>225675441</v>
      </c>
      <c r="H25" s="13">
        <f>207599608+16869064</f>
        <v>224468672</v>
      </c>
      <c r="J25" s="12" t="s">
        <v>13</v>
      </c>
      <c r="K25" s="52">
        <f t="shared" si="0"/>
        <v>43402280.150000006</v>
      </c>
      <c r="L25" s="52">
        <f t="shared" si="0"/>
        <v>43950531.172500014</v>
      </c>
      <c r="O25" s="15" t="s">
        <v>13</v>
      </c>
      <c r="P25" s="44">
        <v>178262260</v>
      </c>
      <c r="Q25" s="45">
        <v>176545859</v>
      </c>
      <c r="R25" s="36">
        <f t="shared" si="1"/>
        <v>182273160.84999999</v>
      </c>
      <c r="S25" s="37">
        <f t="shared" si="1"/>
        <v>180518140.82749999</v>
      </c>
    </row>
    <row r="26" spans="1:22" ht="26.25" customHeight="1" x14ac:dyDescent="0.25">
      <c r="A26" s="7"/>
      <c r="B26" s="12" t="s">
        <v>14</v>
      </c>
      <c r="C26" s="13">
        <v>68746052.317499995</v>
      </c>
      <c r="D26" s="13">
        <v>68116922.382499993</v>
      </c>
      <c r="E26" s="14"/>
      <c r="F26" s="12" t="s">
        <v>14</v>
      </c>
      <c r="G26" s="13">
        <f>60839530+2401356</f>
        <v>63240886</v>
      </c>
      <c r="H26" s="13">
        <f>58067500+2340823</f>
        <v>60408323</v>
      </c>
      <c r="J26" s="12" t="s">
        <v>14</v>
      </c>
      <c r="K26" s="52">
        <f t="shared" si="0"/>
        <v>-5505166.3174999952</v>
      </c>
      <c r="L26" s="52">
        <f t="shared" si="0"/>
        <v>-7708599.3824999928</v>
      </c>
      <c r="O26" s="15" t="s">
        <v>14</v>
      </c>
      <c r="P26" s="44">
        <v>67233303</v>
      </c>
      <c r="Q26" s="45">
        <v>66618017</v>
      </c>
      <c r="R26" s="36">
        <f t="shared" si="1"/>
        <v>68746052.317499995</v>
      </c>
      <c r="S26" s="37">
        <f t="shared" si="1"/>
        <v>68116922.382499993</v>
      </c>
    </row>
    <row r="27" spans="1:22" ht="26.25" customHeight="1" x14ac:dyDescent="0.25">
      <c r="A27" s="7"/>
      <c r="B27" s="12" t="s">
        <v>15</v>
      </c>
      <c r="C27" s="13">
        <v>47570704.109999999</v>
      </c>
      <c r="D27" s="13">
        <v>46580045.782499999</v>
      </c>
      <c r="E27" s="14"/>
      <c r="F27" s="12" t="s">
        <v>15</v>
      </c>
      <c r="G27" s="13">
        <f>41937353+2401356</f>
        <v>44338709</v>
      </c>
      <c r="H27" s="13">
        <f>41797390+2340823</f>
        <v>44138213</v>
      </c>
      <c r="J27" s="12" t="s">
        <v>15</v>
      </c>
      <c r="K27" s="52">
        <f t="shared" si="0"/>
        <v>-3231995.1099999994</v>
      </c>
      <c r="L27" s="52">
        <f t="shared" si="0"/>
        <v>-2441832.7824999988</v>
      </c>
      <c r="O27" s="15" t="s">
        <v>15</v>
      </c>
      <c r="P27" s="44">
        <v>46523916</v>
      </c>
      <c r="Q27" s="45">
        <v>45555057</v>
      </c>
      <c r="R27" s="36">
        <f t="shared" si="1"/>
        <v>47570704.109999999</v>
      </c>
      <c r="S27" s="37">
        <f t="shared" si="1"/>
        <v>46580045.782499999</v>
      </c>
    </row>
    <row r="28" spans="1:22" ht="26.25" customHeight="1" x14ac:dyDescent="0.25">
      <c r="A28" s="7"/>
      <c r="B28" s="17" t="s">
        <v>16</v>
      </c>
      <c r="C28" s="18">
        <f>SUM(C13:C27)</f>
        <v>1570659980.05</v>
      </c>
      <c r="D28" s="18">
        <f>SUM(D13:D27)</f>
        <v>1545756615.2474999</v>
      </c>
      <c r="E28" s="19"/>
      <c r="F28" s="17" t="s">
        <v>16</v>
      </c>
      <c r="G28" s="18">
        <f>SUM(G13:G27)</f>
        <v>1535083677</v>
      </c>
      <c r="H28" s="18">
        <f>SUM(H13:H27)</f>
        <v>1515629250</v>
      </c>
      <c r="J28" s="17" t="s">
        <v>16</v>
      </c>
      <c r="K28" s="18">
        <f>SUM(K13:K27)</f>
        <v>-35576303.049999908</v>
      </c>
      <c r="L28" s="18">
        <f>SUM(L13:L27)</f>
        <v>-30127365.247499943</v>
      </c>
      <c r="O28" s="43" t="s">
        <v>16</v>
      </c>
      <c r="P28" s="20">
        <f>SUM(P13:P27)</f>
        <v>1536097780</v>
      </c>
      <c r="Q28" s="32">
        <f>SUM(Q13:Q27)</f>
        <v>1511742411</v>
      </c>
      <c r="R28" s="38">
        <f>SUM(R13:R27)</f>
        <v>1570659980.05</v>
      </c>
      <c r="S28" s="39">
        <f>SUM(S13:S27)</f>
        <v>1545756615.2474999</v>
      </c>
    </row>
    <row r="29" spans="1:22" ht="26.25" customHeight="1" x14ac:dyDescent="0.25">
      <c r="A29" s="7"/>
      <c r="B29" s="12" t="s">
        <v>17</v>
      </c>
      <c r="C29" s="13">
        <v>169759604.41749999</v>
      </c>
      <c r="D29" s="13">
        <v>166920416.39750001</v>
      </c>
      <c r="E29" s="14"/>
      <c r="F29" s="12" t="s">
        <v>17</v>
      </c>
      <c r="G29" s="13">
        <f>240915046+24633940-2</f>
        <v>265548984</v>
      </c>
      <c r="H29" s="13">
        <f>238001238+24412373-2</f>
        <v>262413609</v>
      </c>
      <c r="J29" s="12" t="s">
        <v>17</v>
      </c>
      <c r="K29" s="52">
        <f>+G29-C29</f>
        <v>95789379.582500011</v>
      </c>
      <c r="L29" s="52">
        <f>+H29-D29</f>
        <v>95493192.602499992</v>
      </c>
      <c r="O29" s="15" t="s">
        <v>17</v>
      </c>
      <c r="P29" s="44">
        <v>166024063</v>
      </c>
      <c r="Q29" s="46">
        <v>163247351</v>
      </c>
      <c r="R29" s="36">
        <f t="shared" ref="R29:R31" si="4">+P29*$P$10</f>
        <v>169759604.41749999</v>
      </c>
      <c r="S29" s="37">
        <f t="shared" ref="S29" si="5">+Q29*$P$10</f>
        <v>166920416.39750001</v>
      </c>
    </row>
    <row r="30" spans="1:22" ht="26.25" customHeight="1" x14ac:dyDescent="0.25">
      <c r="A30" s="7"/>
      <c r="B30" s="17" t="s">
        <v>18</v>
      </c>
      <c r="C30" s="18">
        <f>+C28+C29</f>
        <v>1740419584.4675</v>
      </c>
      <c r="D30" s="18">
        <f>+D28+D29</f>
        <v>1712677031.645</v>
      </c>
      <c r="E30" s="19"/>
      <c r="F30" s="17" t="s">
        <v>18</v>
      </c>
      <c r="G30" s="18">
        <f>+G28+G29</f>
        <v>1800632661</v>
      </c>
      <c r="H30" s="18">
        <f>+H28+H29</f>
        <v>1778042859</v>
      </c>
      <c r="J30" s="17" t="s">
        <v>18</v>
      </c>
      <c r="K30" s="18">
        <f>+K28+K29</f>
        <v>60213076.532500103</v>
      </c>
      <c r="L30" s="18">
        <f>+L28+L29</f>
        <v>65365827.355000049</v>
      </c>
      <c r="O30" s="43" t="s">
        <v>18</v>
      </c>
      <c r="P30" s="38">
        <f>SUM(P28:P29)</f>
        <v>1702121843</v>
      </c>
      <c r="Q30" s="39">
        <f>SUM(Q28:Q29)</f>
        <v>1674989762</v>
      </c>
      <c r="R30" s="38">
        <f>SUM(R28:R29)</f>
        <v>1740419584.4675</v>
      </c>
      <c r="S30" s="39">
        <f>SUM(S28:S29)</f>
        <v>1712677031.645</v>
      </c>
    </row>
    <row r="31" spans="1:22" ht="26.25" customHeight="1" x14ac:dyDescent="0.25">
      <c r="A31" s="7"/>
      <c r="B31" s="12" t="s">
        <v>19</v>
      </c>
      <c r="C31" s="13">
        <v>8180</v>
      </c>
      <c r="D31" s="13"/>
      <c r="E31" s="14"/>
      <c r="F31" s="12" t="s">
        <v>27</v>
      </c>
      <c r="G31" s="13">
        <f>1800654306-1800632661</f>
        <v>21645</v>
      </c>
      <c r="H31" s="13"/>
      <c r="J31" s="23"/>
      <c r="K31" s="24"/>
      <c r="L31" s="24"/>
      <c r="O31" s="15" t="s">
        <v>20</v>
      </c>
      <c r="P31" s="44">
        <v>8000</v>
      </c>
      <c r="Q31" s="31"/>
      <c r="R31" s="36">
        <f t="shared" si="4"/>
        <v>8180</v>
      </c>
      <c r="S31" s="37"/>
    </row>
    <row r="32" spans="1:22" ht="26.25" customHeight="1" thickBot="1" x14ac:dyDescent="0.3">
      <c r="A32" s="7"/>
      <c r="B32" s="17" t="s">
        <v>22</v>
      </c>
      <c r="C32" s="18">
        <f>+C31+C30</f>
        <v>1740427764.4675</v>
      </c>
      <c r="D32" s="18">
        <f>+D31+D30</f>
        <v>1712677031.645</v>
      </c>
      <c r="E32" s="19"/>
      <c r="F32" s="17" t="s">
        <v>23</v>
      </c>
      <c r="G32" s="18">
        <f>+G31+G30</f>
        <v>1800654306</v>
      </c>
      <c r="H32" s="18">
        <f>+H31+H30</f>
        <v>1778042859</v>
      </c>
      <c r="J32" s="25"/>
      <c r="K32" s="26"/>
      <c r="L32" s="26"/>
      <c r="O32" s="33" t="s">
        <v>24</v>
      </c>
      <c r="P32" s="47">
        <f>SUM(P30:P31)</f>
        <v>1702129843</v>
      </c>
      <c r="Q32" s="48">
        <f>SUM(Q30:Q31)</f>
        <v>1674989762</v>
      </c>
      <c r="R32" s="21">
        <f>SUM(R30:R31)</f>
        <v>1740427764.4675</v>
      </c>
      <c r="S32" s="22">
        <f>SUM(S30:S31)</f>
        <v>1712677031.645</v>
      </c>
      <c r="V32" s="29"/>
    </row>
    <row r="33" spans="1:21" x14ac:dyDescent="0.25">
      <c r="A33" s="7"/>
      <c r="C33" s="16"/>
      <c r="D33" s="16"/>
      <c r="G33" s="6"/>
      <c r="P33" s="27"/>
      <c r="Q33" s="27"/>
      <c r="R33" s="28">
        <f>+R32-C32</f>
        <v>0</v>
      </c>
      <c r="S33" s="28">
        <f>+S32-D32</f>
        <v>0</v>
      </c>
    </row>
    <row r="34" spans="1:21" x14ac:dyDescent="0.25">
      <c r="B34" s="6"/>
      <c r="C34" s="6"/>
      <c r="D34" s="6"/>
      <c r="F34" s="6"/>
      <c r="G34" s="41"/>
      <c r="H34" s="41"/>
      <c r="I34" s="6"/>
      <c r="J34" s="6"/>
      <c r="K34" s="6"/>
      <c r="R34" s="28">
        <f>+P32*$P$10</f>
        <v>1740427764.4675</v>
      </c>
      <c r="S34" s="28">
        <f>+Q32*$P$10</f>
        <v>1712677031.645</v>
      </c>
    </row>
    <row r="35" spans="1:21" x14ac:dyDescent="0.25">
      <c r="B35" s="6"/>
      <c r="C35" s="41"/>
      <c r="D35" s="41"/>
      <c r="F35" s="6"/>
      <c r="G35" s="41"/>
      <c r="H35" s="41"/>
      <c r="I35" s="6"/>
      <c r="J35" s="6"/>
      <c r="K35" s="6"/>
    </row>
    <row r="36" spans="1:21" ht="15.75" thickBot="1" x14ac:dyDescent="0.3">
      <c r="G36" s="29"/>
      <c r="H36" s="29"/>
      <c r="P36" s="61">
        <f>+P32*P10</f>
        <v>1740427764.4675</v>
      </c>
      <c r="Q36" s="61">
        <f>+Q32*P10</f>
        <v>1712677031.645</v>
      </c>
      <c r="R36" s="22"/>
      <c r="S36" s="22"/>
    </row>
    <row r="37" spans="1:21" x14ac:dyDescent="0.25">
      <c r="A37" s="7"/>
      <c r="H37" s="29"/>
    </row>
    <row r="38" spans="1:21" x14ac:dyDescent="0.25">
      <c r="A38" s="7"/>
      <c r="G38" s="16"/>
    </row>
    <row r="39" spans="1:21" x14ac:dyDescent="0.25">
      <c r="A39" s="7"/>
      <c r="E39" s="7"/>
      <c r="G39" s="16"/>
    </row>
    <row r="40" spans="1:21" x14ac:dyDescent="0.25">
      <c r="N40" s="6"/>
      <c r="O40" s="6"/>
      <c r="P40" s="6"/>
      <c r="Q40" s="6"/>
      <c r="R40" s="6"/>
      <c r="S40" s="6"/>
      <c r="T40" s="6"/>
      <c r="U40" s="6"/>
    </row>
    <row r="41" spans="1:21" x14ac:dyDescent="0.25">
      <c r="N41" s="10"/>
      <c r="O41" s="10"/>
      <c r="P41" s="6"/>
      <c r="Q41" s="6"/>
      <c r="R41" s="6"/>
      <c r="S41" s="6"/>
      <c r="T41" s="6"/>
      <c r="U41" s="6"/>
    </row>
    <row r="42" spans="1:21" x14ac:dyDescent="0.25">
      <c r="N42" s="6"/>
      <c r="O42" s="6"/>
      <c r="P42" s="6"/>
      <c r="Q42" s="6"/>
      <c r="R42" s="6"/>
      <c r="S42" s="6"/>
      <c r="T42" s="6"/>
      <c r="U42" s="6"/>
    </row>
    <row r="43" spans="1:21" x14ac:dyDescent="0.25">
      <c r="N43" s="6"/>
      <c r="O43" s="6"/>
      <c r="P43" s="6"/>
      <c r="Q43" s="6"/>
      <c r="R43" s="6"/>
      <c r="S43" s="6"/>
      <c r="T43" s="6"/>
      <c r="U43" s="6"/>
    </row>
    <row r="44" spans="1:21" x14ac:dyDescent="0.25">
      <c r="N44" s="6"/>
      <c r="O44" s="6"/>
      <c r="P44" s="6"/>
      <c r="Q44" s="6"/>
      <c r="R44" s="6"/>
      <c r="S44" s="6"/>
      <c r="T44" s="6"/>
      <c r="U44" s="6"/>
    </row>
  </sheetData>
  <mergeCells count="7">
    <mergeCell ref="B1:L1"/>
    <mergeCell ref="B5:L5"/>
    <mergeCell ref="B7:L7"/>
    <mergeCell ref="B11:D11"/>
    <mergeCell ref="F11:H11"/>
    <mergeCell ref="J11:L11"/>
    <mergeCell ref="B6:L6"/>
  </mergeCells>
  <pageMargins left="0.25" right="0.25" top="0.75" bottom="0.75" header="0.3" footer="0.3"/>
  <pageSetup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9"/>
  <sheetViews>
    <sheetView tabSelected="1" zoomScale="90" zoomScaleNormal="90" zoomScaleSheetLayoutView="100" workbookViewId="0">
      <selection activeCell="B1" sqref="B1:L33"/>
    </sheetView>
  </sheetViews>
  <sheetFormatPr baseColWidth="10" defaultRowHeight="15" x14ac:dyDescent="0.25"/>
  <cols>
    <col min="1" max="1" width="11.42578125" style="6"/>
    <col min="2" max="2" width="12.42578125" style="7" customWidth="1"/>
    <col min="3" max="3" width="16.140625" style="7" customWidth="1"/>
    <col min="4" max="4" width="15.140625" style="7" customWidth="1"/>
    <col min="5" max="5" width="3.85546875" style="11" customWidth="1"/>
    <col min="6" max="6" width="12.42578125" style="7" customWidth="1"/>
    <col min="7" max="8" width="15.42578125" style="7" customWidth="1"/>
    <col min="9" max="9" width="3.7109375" style="7" customWidth="1"/>
    <col min="10" max="10" width="12.42578125" style="7" customWidth="1"/>
    <col min="11" max="11" width="13.28515625" style="7" bestFit="1" customWidth="1"/>
    <col min="12" max="12" width="15.140625" style="7" customWidth="1"/>
    <col min="13" max="14" width="11.42578125" style="7" customWidth="1"/>
    <col min="15" max="15" width="14.7109375" style="7" customWidth="1"/>
    <col min="16" max="16" width="11.42578125" style="7" customWidth="1"/>
    <col min="17" max="17" width="14.85546875" style="7" customWidth="1"/>
    <col min="18" max="20" width="11.42578125" style="7" customWidth="1"/>
    <col min="21" max="16384" width="11.42578125" style="7"/>
  </cols>
  <sheetData>
    <row r="1" spans="1:12" ht="49.5" customHeight="1" x14ac:dyDescent="0.25">
      <c r="B1" s="62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5">
      <c r="B3" s="55"/>
      <c r="C3" s="9"/>
      <c r="D3" s="55"/>
      <c r="E3" s="55"/>
      <c r="F3" s="55"/>
      <c r="G3" s="55"/>
      <c r="H3" s="55"/>
      <c r="I3" s="55"/>
      <c r="J3" s="55"/>
      <c r="K3" s="55"/>
      <c r="L3" s="55"/>
    </row>
    <row r="4" spans="1:12" x14ac:dyDescent="0.25">
      <c r="B4" s="6"/>
      <c r="C4" s="6"/>
      <c r="D4" s="6"/>
      <c r="F4" s="6"/>
      <c r="G4" s="6"/>
      <c r="H4" s="6"/>
      <c r="I4" s="6"/>
      <c r="J4" s="6"/>
      <c r="K4" s="6"/>
      <c r="L4" s="6"/>
    </row>
    <row r="5" spans="1:12" x14ac:dyDescent="0.25">
      <c r="B5" s="63" t="s">
        <v>28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x14ac:dyDescent="0.25">
      <c r="B6" s="63" t="s">
        <v>41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x14ac:dyDescent="0.25">
      <c r="B7" s="63" t="s">
        <v>39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s="6" customFormat="1" x14ac:dyDescent="0.25">
      <c r="B9" s="5"/>
      <c r="C9" s="56"/>
      <c r="D9" s="56"/>
      <c r="E9" s="56"/>
      <c r="F9" s="5"/>
      <c r="G9" s="56"/>
      <c r="H9" s="56"/>
      <c r="I9" s="56"/>
      <c r="J9" s="56"/>
      <c r="K9" s="56"/>
      <c r="L9" s="56"/>
    </row>
    <row r="10" spans="1:12" s="6" customFormat="1" x14ac:dyDescent="0.25">
      <c r="A10" s="10"/>
      <c r="C10" s="56"/>
      <c r="D10" s="51"/>
      <c r="E10" s="56"/>
      <c r="F10" s="56"/>
      <c r="G10" s="56"/>
      <c r="H10" s="56"/>
      <c r="I10" s="56"/>
      <c r="J10" s="56"/>
      <c r="K10" s="56"/>
      <c r="L10" s="56"/>
    </row>
    <row r="11" spans="1:12" s="6" customFormat="1" x14ac:dyDescent="0.25">
      <c r="B11" s="64" t="s">
        <v>29</v>
      </c>
      <c r="C11" s="64"/>
      <c r="D11" s="64"/>
      <c r="E11" s="11"/>
      <c r="F11" s="64" t="s">
        <v>30</v>
      </c>
      <c r="G11" s="64"/>
      <c r="H11" s="64"/>
      <c r="J11" s="65" t="s">
        <v>31</v>
      </c>
      <c r="K11" s="65"/>
      <c r="L11" s="65"/>
    </row>
    <row r="12" spans="1:12" ht="45" x14ac:dyDescent="0.25">
      <c r="B12" s="1" t="s">
        <v>1</v>
      </c>
      <c r="C12" s="2" t="s">
        <v>42</v>
      </c>
      <c r="D12" s="1" t="s">
        <v>43</v>
      </c>
      <c r="E12" s="3"/>
      <c r="F12" s="1" t="s">
        <v>1</v>
      </c>
      <c r="G12" s="2" t="s">
        <v>44</v>
      </c>
      <c r="H12" s="1" t="s">
        <v>45</v>
      </c>
      <c r="I12" s="4"/>
      <c r="J12" s="1" t="s">
        <v>1</v>
      </c>
      <c r="K12" s="2" t="s">
        <v>33</v>
      </c>
      <c r="L12" s="2" t="s">
        <v>45</v>
      </c>
    </row>
    <row r="13" spans="1:12" ht="26.25" customHeight="1" x14ac:dyDescent="0.25">
      <c r="B13" s="12" t="s">
        <v>2</v>
      </c>
      <c r="C13" s="13">
        <f>+FET!C13+SECTORIAL!C13</f>
        <v>95840282.879999995</v>
      </c>
      <c r="D13" s="13">
        <f>+FET!D13+SECTORIAL!D13</f>
        <v>95380168.104999989</v>
      </c>
      <c r="E13" s="14"/>
      <c r="F13" s="12" t="s">
        <v>2</v>
      </c>
      <c r="G13" s="13">
        <f>+FET!G13+SECTORIAL!G13</f>
        <v>157426013</v>
      </c>
      <c r="H13" s="13">
        <f>+FET!H13+SECTORIAL!H13</f>
        <v>156955899</v>
      </c>
      <c r="J13" s="12" t="s">
        <v>2</v>
      </c>
      <c r="K13" s="52">
        <f>+G13-C13</f>
        <v>61585730.120000005</v>
      </c>
      <c r="L13" s="52">
        <f>+H13-D13</f>
        <v>61575730.895000011</v>
      </c>
    </row>
    <row r="14" spans="1:12" ht="26.25" customHeight="1" x14ac:dyDescent="0.25">
      <c r="B14" s="12" t="s">
        <v>3</v>
      </c>
      <c r="C14" s="13">
        <f>+FET!C14+SECTORIAL!C14</f>
        <v>63723690.805</v>
      </c>
      <c r="D14" s="13">
        <f>+FET!D14+SECTORIAL!D14</f>
        <v>62509814.592500001</v>
      </c>
      <c r="E14" s="14"/>
      <c r="F14" s="12" t="s">
        <v>3</v>
      </c>
      <c r="G14" s="13">
        <f>+FET!G14+SECTORIAL!G14</f>
        <v>72737975</v>
      </c>
      <c r="H14" s="13">
        <f>+FET!H14+SECTORIAL!H14</f>
        <v>70833885</v>
      </c>
      <c r="J14" s="12" t="s">
        <v>3</v>
      </c>
      <c r="K14" s="52">
        <f t="shared" ref="K14:K29" si="0">+G14-C14</f>
        <v>9014284.1950000003</v>
      </c>
      <c r="L14" s="52">
        <f t="shared" ref="L14:L29" si="1">+H14-D14</f>
        <v>8324070.4074999988</v>
      </c>
    </row>
    <row r="15" spans="1:12" ht="26.25" customHeight="1" x14ac:dyDescent="0.25">
      <c r="B15" s="12" t="s">
        <v>4</v>
      </c>
      <c r="C15" s="13">
        <f>+FET!C15+SECTORIAL!C15</f>
        <v>96893962.99499999</v>
      </c>
      <c r="D15" s="13">
        <f>+FET!D15+SECTORIAL!D15</f>
        <v>95511873.262500003</v>
      </c>
      <c r="E15" s="14"/>
      <c r="F15" s="12" t="s">
        <v>4</v>
      </c>
      <c r="G15" s="13">
        <f>+FET!G15+SECTORIAL!G15</f>
        <v>113306381</v>
      </c>
      <c r="H15" s="13">
        <f>+FET!H15+SECTORIAL!H15</f>
        <v>111262951</v>
      </c>
      <c r="J15" s="12" t="s">
        <v>4</v>
      </c>
      <c r="K15" s="52">
        <f t="shared" si="0"/>
        <v>16412418.00500001</v>
      </c>
      <c r="L15" s="52">
        <f t="shared" si="1"/>
        <v>15751077.737499997</v>
      </c>
    </row>
    <row r="16" spans="1:12" ht="26.25" customHeight="1" x14ac:dyDescent="0.25">
      <c r="B16" s="12" t="s">
        <v>5</v>
      </c>
      <c r="C16" s="13">
        <f>+FET!C16+SECTORIAL!C16</f>
        <v>56983183.6875</v>
      </c>
      <c r="D16" s="13">
        <f>+FET!D16+SECTORIAL!D16</f>
        <v>52432910.424999997</v>
      </c>
      <c r="E16" s="14"/>
      <c r="F16" s="12" t="s">
        <v>5</v>
      </c>
      <c r="G16" s="13">
        <f>+FET!G16+SECTORIAL!G16</f>
        <v>86699173</v>
      </c>
      <c r="H16" s="13">
        <f>+FET!H16+SECTORIAL!H16</f>
        <v>85662083</v>
      </c>
      <c r="J16" s="12" t="s">
        <v>5</v>
      </c>
      <c r="K16" s="52">
        <f t="shared" si="0"/>
        <v>29715989.3125</v>
      </c>
      <c r="L16" s="52">
        <f t="shared" si="1"/>
        <v>33229172.575000003</v>
      </c>
    </row>
    <row r="17" spans="1:17" ht="26.25" customHeight="1" x14ac:dyDescent="0.25">
      <c r="B17" s="12" t="s">
        <v>6</v>
      </c>
      <c r="C17" s="13">
        <f>+FET!C17+SECTORIAL!C17</f>
        <v>140838052.85749999</v>
      </c>
      <c r="D17" s="13">
        <f>+FET!D17+SECTORIAL!D17</f>
        <v>137819045.9425</v>
      </c>
      <c r="E17" s="14"/>
      <c r="F17" s="12" t="s">
        <v>6</v>
      </c>
      <c r="G17" s="13">
        <f>+FET!G17+SECTORIAL!G17</f>
        <v>162698536</v>
      </c>
      <c r="H17" s="13">
        <f>+FET!H17+SECTORIAL!H17</f>
        <v>159049357</v>
      </c>
      <c r="J17" s="12" t="s">
        <v>6</v>
      </c>
      <c r="K17" s="52">
        <f t="shared" si="0"/>
        <v>21860483.142500013</v>
      </c>
      <c r="L17" s="52">
        <f t="shared" si="1"/>
        <v>21230311.057500005</v>
      </c>
    </row>
    <row r="18" spans="1:17" ht="26.25" customHeight="1" x14ac:dyDescent="0.25">
      <c r="B18" s="12" t="s">
        <v>7</v>
      </c>
      <c r="C18" s="13">
        <f>+FET!C18+SECTORIAL!C18</f>
        <v>182172426.19499999</v>
      </c>
      <c r="D18" s="13">
        <f>+FET!D18+SECTORIAL!D18</f>
        <v>180168066.47999999</v>
      </c>
      <c r="E18" s="14"/>
      <c r="F18" s="12" t="s">
        <v>7</v>
      </c>
      <c r="G18" s="13">
        <f>+FET!G18+SECTORIAL!G18</f>
        <v>231040838</v>
      </c>
      <c r="H18" s="13">
        <f>+FET!H18+SECTORIAL!H18</f>
        <v>229220766</v>
      </c>
      <c r="J18" s="12" t="s">
        <v>7</v>
      </c>
      <c r="K18" s="52">
        <f t="shared" si="0"/>
        <v>48868411.805000007</v>
      </c>
      <c r="L18" s="52">
        <f t="shared" si="1"/>
        <v>49052699.520000011</v>
      </c>
    </row>
    <row r="19" spans="1:17" ht="26.25" customHeight="1" x14ac:dyDescent="0.25">
      <c r="B19" s="12" t="s">
        <v>32</v>
      </c>
      <c r="C19" s="13">
        <f>+FET!C19+SECTORIAL!C19</f>
        <v>80255396.162499994</v>
      </c>
      <c r="D19" s="13">
        <f>+FET!D19+SECTORIAL!D19</f>
        <v>79035167.157499999</v>
      </c>
      <c r="E19" s="14"/>
      <c r="F19" s="12" t="s">
        <v>32</v>
      </c>
      <c r="G19" s="13">
        <f>+FET!G19+SECTORIAL!G19</f>
        <v>90545952</v>
      </c>
      <c r="H19" s="13">
        <f>+FET!H19+SECTORIAL!H19</f>
        <v>89136986</v>
      </c>
      <c r="J19" s="12" t="s">
        <v>32</v>
      </c>
      <c r="K19" s="52">
        <f t="shared" si="0"/>
        <v>10290555.837500006</v>
      </c>
      <c r="L19" s="52">
        <f t="shared" si="1"/>
        <v>10101818.842500001</v>
      </c>
    </row>
    <row r="20" spans="1:17" ht="26.25" customHeight="1" x14ac:dyDescent="0.25">
      <c r="B20" s="12" t="s">
        <v>9</v>
      </c>
      <c r="C20" s="13">
        <f>+FET!C20+SECTORIAL!C20</f>
        <v>108036966.5625</v>
      </c>
      <c r="D20" s="13">
        <f>+FET!D20+SECTORIAL!D20</f>
        <v>106932951.84</v>
      </c>
      <c r="E20" s="14"/>
      <c r="F20" s="12" t="s">
        <v>9</v>
      </c>
      <c r="G20" s="13">
        <f>+FET!G20+SECTORIAL!G20</f>
        <v>126462046</v>
      </c>
      <c r="H20" s="13">
        <f>+FET!H20+SECTORIAL!H20</f>
        <v>125344554</v>
      </c>
      <c r="J20" s="12" t="s">
        <v>9</v>
      </c>
      <c r="K20" s="52">
        <f t="shared" si="0"/>
        <v>18425079.4375</v>
      </c>
      <c r="L20" s="52">
        <f t="shared" si="1"/>
        <v>18411602.159999996</v>
      </c>
    </row>
    <row r="21" spans="1:17" ht="26.25" customHeight="1" x14ac:dyDescent="0.25">
      <c r="B21" s="12" t="s">
        <v>25</v>
      </c>
      <c r="C21" s="13">
        <f>+FET!C21+SECTORIAL!C21</f>
        <v>45688876.704999998</v>
      </c>
      <c r="D21" s="13">
        <f>+FET!D21+SECTORIAL!D21</f>
        <v>44538318.805</v>
      </c>
      <c r="E21" s="14"/>
      <c r="F21" s="12" t="s">
        <v>25</v>
      </c>
      <c r="G21" s="13">
        <f>+FET!G21+SECTORIAL!G21</f>
        <v>93681220</v>
      </c>
      <c r="H21" s="13">
        <f>+FET!H21+SECTORIAL!H21</f>
        <v>92550809</v>
      </c>
      <c r="J21" s="12" t="s">
        <v>25</v>
      </c>
      <c r="K21" s="52">
        <f t="shared" si="0"/>
        <v>47992343.295000002</v>
      </c>
      <c r="L21" s="52">
        <f t="shared" si="1"/>
        <v>48012490.195</v>
      </c>
    </row>
    <row r="22" spans="1:17" ht="26.25" customHeight="1" x14ac:dyDescent="0.25">
      <c r="B22" s="12" t="s">
        <v>10</v>
      </c>
      <c r="C22" s="13">
        <f>+FET!C22+SECTORIAL!C22</f>
        <v>131643598.91</v>
      </c>
      <c r="D22" s="13">
        <f>+FET!D22+SECTORIAL!D22</f>
        <v>129993144.84999999</v>
      </c>
      <c r="E22" s="14"/>
      <c r="F22" s="12" t="s">
        <v>10</v>
      </c>
      <c r="G22" s="13">
        <f>+FET!G22+SECTORIAL!G22</f>
        <v>174970799</v>
      </c>
      <c r="H22" s="13">
        <f>+FET!H22+SECTORIAL!H22</f>
        <v>173663494</v>
      </c>
      <c r="J22" s="12" t="s">
        <v>10</v>
      </c>
      <c r="K22" s="52">
        <f t="shared" si="0"/>
        <v>43327200.090000004</v>
      </c>
      <c r="L22" s="52">
        <f t="shared" si="1"/>
        <v>43670349.150000006</v>
      </c>
    </row>
    <row r="23" spans="1:17" ht="26.25" customHeight="1" x14ac:dyDescent="0.25">
      <c r="A23" s="7"/>
      <c r="B23" s="12" t="s">
        <v>11</v>
      </c>
      <c r="C23" s="13">
        <f>+FET!C23+SECTORIAL!C23</f>
        <v>154535779.83249998</v>
      </c>
      <c r="D23" s="13">
        <f>+FET!D23+SECTORIAL!D23</f>
        <v>152651901.29249999</v>
      </c>
      <c r="E23" s="14"/>
      <c r="F23" s="12" t="s">
        <v>11</v>
      </c>
      <c r="G23" s="13">
        <f>+FET!G23+SECTORIAL!G23</f>
        <v>179148389</v>
      </c>
      <c r="H23" s="13">
        <f>+FET!H23+SECTORIAL!H23</f>
        <v>176848111</v>
      </c>
      <c r="J23" s="12" t="s">
        <v>11</v>
      </c>
      <c r="K23" s="52">
        <f t="shared" si="0"/>
        <v>24612609.167500019</v>
      </c>
      <c r="L23" s="52">
        <f t="shared" si="1"/>
        <v>24196209.707500011</v>
      </c>
    </row>
    <row r="24" spans="1:17" ht="26.25" customHeight="1" x14ac:dyDescent="0.25">
      <c r="A24" s="7"/>
      <c r="B24" s="12" t="s">
        <v>12</v>
      </c>
      <c r="C24" s="13">
        <f>+FET!C24+SECTORIAL!C24</f>
        <v>115457845.17999999</v>
      </c>
      <c r="D24" s="13">
        <f>+FET!D24+SECTORIAL!D24</f>
        <v>113568143.5025</v>
      </c>
      <c r="E24" s="14"/>
      <c r="F24" s="12" t="s">
        <v>12</v>
      </c>
      <c r="G24" s="13">
        <f>+FET!G24+SECTORIAL!G24</f>
        <v>152540708</v>
      </c>
      <c r="H24" s="13">
        <f>+FET!H24+SECTORIAL!H24</f>
        <v>148588262</v>
      </c>
      <c r="J24" s="12" t="s">
        <v>12</v>
      </c>
      <c r="K24" s="52">
        <f t="shared" si="0"/>
        <v>37082862.820000008</v>
      </c>
      <c r="L24" s="52">
        <f t="shared" si="1"/>
        <v>35020118.497500002</v>
      </c>
    </row>
    <row r="25" spans="1:17" ht="26.25" customHeight="1" x14ac:dyDescent="0.25">
      <c r="A25" s="7"/>
      <c r="B25" s="12" t="s">
        <v>13</v>
      </c>
      <c r="C25" s="13">
        <f>+FET!C25+SECTORIAL!C25</f>
        <v>182273160.84999999</v>
      </c>
      <c r="D25" s="13">
        <f>+FET!D25+SECTORIAL!D25</f>
        <v>180518140.82749999</v>
      </c>
      <c r="E25" s="14"/>
      <c r="F25" s="12" t="s">
        <v>13</v>
      </c>
      <c r="G25" s="13">
        <f>+FET!G25+SECTORIAL!G25</f>
        <v>279615060</v>
      </c>
      <c r="H25" s="13">
        <f>+FET!H25+SECTORIAL!H25</f>
        <v>278202303</v>
      </c>
      <c r="J25" s="12" t="s">
        <v>13</v>
      </c>
      <c r="K25" s="52">
        <f t="shared" si="0"/>
        <v>97341899.150000006</v>
      </c>
      <c r="L25" s="52">
        <f t="shared" si="1"/>
        <v>97684162.172500014</v>
      </c>
    </row>
    <row r="26" spans="1:17" ht="26.25" customHeight="1" x14ac:dyDescent="0.25">
      <c r="A26" s="7"/>
      <c r="B26" s="12" t="s">
        <v>14</v>
      </c>
      <c r="C26" s="13">
        <f>+FET!C26+SECTORIAL!C26</f>
        <v>68746052.317499995</v>
      </c>
      <c r="D26" s="13">
        <f>+FET!D26+SECTORIAL!D26</f>
        <v>68116922.382499993</v>
      </c>
      <c r="E26" s="14"/>
      <c r="F26" s="12" t="s">
        <v>14</v>
      </c>
      <c r="G26" s="13">
        <f>+FET!G26+SECTORIAL!G26</f>
        <v>79412327</v>
      </c>
      <c r="H26" s="13">
        <f>+FET!H26+SECTORIAL!H26</f>
        <v>75964460</v>
      </c>
      <c r="J26" s="12" t="s">
        <v>14</v>
      </c>
      <c r="K26" s="52">
        <f t="shared" si="0"/>
        <v>10666274.682500005</v>
      </c>
      <c r="L26" s="52">
        <f t="shared" si="1"/>
        <v>7847537.6175000072</v>
      </c>
    </row>
    <row r="27" spans="1:17" ht="26.25" customHeight="1" x14ac:dyDescent="0.25">
      <c r="A27" s="7"/>
      <c r="B27" s="12" t="s">
        <v>15</v>
      </c>
      <c r="C27" s="13">
        <f>+FET!C27+SECTORIAL!C27</f>
        <v>47570704.109999999</v>
      </c>
      <c r="D27" s="13">
        <f>+FET!D27+SECTORIAL!D27</f>
        <v>46580045.782499999</v>
      </c>
      <c r="E27" s="14"/>
      <c r="F27" s="12" t="s">
        <v>15</v>
      </c>
      <c r="G27" s="13">
        <f>+FET!G27+SECTORIAL!G27</f>
        <v>53714329</v>
      </c>
      <c r="H27" s="13">
        <f>+FET!H27+SECTORIAL!H27</f>
        <v>53437677</v>
      </c>
      <c r="J27" s="12" t="s">
        <v>15</v>
      </c>
      <c r="K27" s="52">
        <f t="shared" si="0"/>
        <v>6143624.8900000006</v>
      </c>
      <c r="L27" s="52">
        <f t="shared" si="1"/>
        <v>6857631.2175000012</v>
      </c>
    </row>
    <row r="28" spans="1:17" ht="26.25" customHeight="1" x14ac:dyDescent="0.25">
      <c r="A28" s="7"/>
      <c r="B28" s="17" t="s">
        <v>16</v>
      </c>
      <c r="C28" s="18">
        <f>SUM(C13:C27)</f>
        <v>1570659980.05</v>
      </c>
      <c r="D28" s="18">
        <f>SUM(D13:D27)</f>
        <v>1545756615.2474999</v>
      </c>
      <c r="E28" s="19"/>
      <c r="F28" s="17" t="s">
        <v>16</v>
      </c>
      <c r="G28" s="18">
        <f>SUM(G13:G27)</f>
        <v>2053999746</v>
      </c>
      <c r="H28" s="18">
        <f>SUM(H13:H27)</f>
        <v>2026721597</v>
      </c>
      <c r="J28" s="17" t="s">
        <v>16</v>
      </c>
      <c r="K28" s="18">
        <f>SUM(K13:K27)</f>
        <v>483339765.95000005</v>
      </c>
      <c r="L28" s="18">
        <f>SUM(L13:L27)</f>
        <v>480964981.75250006</v>
      </c>
    </row>
    <row r="29" spans="1:17" ht="26.25" customHeight="1" x14ac:dyDescent="0.25">
      <c r="A29" s="7"/>
      <c r="B29" s="12" t="s">
        <v>17</v>
      </c>
      <c r="C29" s="13">
        <f>+FET!C29+SECTORIAL!C29</f>
        <v>169759604.41749999</v>
      </c>
      <c r="D29" s="13">
        <f>+FET!D29+SECTORIAL!D29</f>
        <v>166920416.39750001</v>
      </c>
      <c r="E29" s="14"/>
      <c r="F29" s="12" t="s">
        <v>17</v>
      </c>
      <c r="G29" s="13">
        <f>+FET!G29+SECTORIAL!G29</f>
        <v>308977153</v>
      </c>
      <c r="H29" s="13">
        <f>+FET!H29+SECTORIAL!H29</f>
        <v>304985643</v>
      </c>
      <c r="J29" s="12" t="s">
        <v>17</v>
      </c>
      <c r="K29" s="52">
        <f t="shared" si="0"/>
        <v>139217548.58250001</v>
      </c>
      <c r="L29" s="52">
        <f t="shared" si="1"/>
        <v>138065226.60249999</v>
      </c>
    </row>
    <row r="30" spans="1:17" ht="26.25" customHeight="1" x14ac:dyDescent="0.25">
      <c r="A30" s="7"/>
      <c r="B30" s="17" t="s">
        <v>18</v>
      </c>
      <c r="C30" s="18">
        <f>+C28+C29</f>
        <v>1740419584.4675</v>
      </c>
      <c r="D30" s="18">
        <f>+D28+D29</f>
        <v>1712677031.645</v>
      </c>
      <c r="E30" s="19"/>
      <c r="F30" s="17" t="s">
        <v>18</v>
      </c>
      <c r="G30" s="18">
        <f>+G28+G29</f>
        <v>2362976899</v>
      </c>
      <c r="H30" s="18">
        <f>+H28+H29</f>
        <v>2331707240</v>
      </c>
      <c r="J30" s="17" t="s">
        <v>18</v>
      </c>
      <c r="K30" s="18">
        <f>+K28+K29</f>
        <v>622557314.53250003</v>
      </c>
      <c r="L30" s="18">
        <f>+L28+L29</f>
        <v>619030208.35500002</v>
      </c>
    </row>
    <row r="31" spans="1:17" ht="26.25" customHeight="1" x14ac:dyDescent="0.25">
      <c r="A31" s="7"/>
      <c r="B31" s="12" t="s">
        <v>19</v>
      </c>
      <c r="C31" s="13">
        <f>+FET!C31+SECTORIAL!C31</f>
        <v>8180</v>
      </c>
      <c r="D31" s="13">
        <f>+FET!D31+SECTORIAL!D31</f>
        <v>0</v>
      </c>
      <c r="E31" s="14"/>
      <c r="F31" s="12" t="s">
        <v>27</v>
      </c>
      <c r="G31" s="13">
        <f>+FET!G31+SECTORIAL!G31</f>
        <v>115599</v>
      </c>
      <c r="H31" s="13">
        <f>+FET!H31+SECTORIAL!H31</f>
        <v>0</v>
      </c>
      <c r="J31" s="23"/>
      <c r="K31" s="24"/>
      <c r="L31" s="24"/>
    </row>
    <row r="32" spans="1:17" ht="26.25" customHeight="1" x14ac:dyDescent="0.25">
      <c r="A32" s="7"/>
      <c r="B32" s="17" t="s">
        <v>22</v>
      </c>
      <c r="C32" s="18">
        <f>+C31+C30</f>
        <v>1740427764.4675</v>
      </c>
      <c r="D32" s="18">
        <f>+D31+D30</f>
        <v>1712677031.645</v>
      </c>
      <c r="E32" s="19"/>
      <c r="F32" s="17" t="s">
        <v>23</v>
      </c>
      <c r="G32" s="18">
        <f>+G31+G30</f>
        <v>2363092498</v>
      </c>
      <c r="H32" s="18">
        <f>+H31+H30</f>
        <v>2331707240</v>
      </c>
      <c r="J32" s="25"/>
      <c r="K32" s="26"/>
      <c r="L32" s="26"/>
      <c r="Q32" s="29"/>
    </row>
    <row r="33" spans="1:11" x14ac:dyDescent="0.25">
      <c r="A33" s="7"/>
      <c r="C33" s="16"/>
      <c r="D33" s="16"/>
      <c r="G33" s="6"/>
    </row>
    <row r="34" spans="1:11" x14ac:dyDescent="0.25">
      <c r="B34" s="6"/>
      <c r="C34" s="6"/>
      <c r="D34" s="6"/>
      <c r="F34" s="6"/>
      <c r="G34" s="41"/>
      <c r="H34" s="41"/>
      <c r="I34" s="6"/>
      <c r="J34" s="6"/>
      <c r="K34" s="6"/>
    </row>
    <row r="35" spans="1:11" x14ac:dyDescent="0.25">
      <c r="B35" s="6"/>
      <c r="C35" s="41"/>
      <c r="D35" s="41"/>
      <c r="F35" s="6"/>
      <c r="G35" s="41"/>
      <c r="H35" s="41"/>
      <c r="I35" s="6"/>
      <c r="J35" s="6"/>
      <c r="K35" s="6"/>
    </row>
    <row r="36" spans="1:11" x14ac:dyDescent="0.25">
      <c r="G36" s="29"/>
      <c r="H36" s="29"/>
    </row>
    <row r="37" spans="1:11" x14ac:dyDescent="0.25">
      <c r="A37" s="7"/>
      <c r="H37" s="29"/>
    </row>
    <row r="38" spans="1:11" x14ac:dyDescent="0.25">
      <c r="A38" s="7"/>
      <c r="G38" s="16"/>
    </row>
    <row r="39" spans="1:11" x14ac:dyDescent="0.25">
      <c r="A39" s="7"/>
      <c r="E39" s="7"/>
      <c r="G39" s="16"/>
    </row>
  </sheetData>
  <mergeCells count="7">
    <mergeCell ref="B1:L1"/>
    <mergeCell ref="B5:L5"/>
    <mergeCell ref="B6:L6"/>
    <mergeCell ref="B7:L7"/>
    <mergeCell ref="B11:D11"/>
    <mergeCell ref="F11:H11"/>
    <mergeCell ref="J11:L11"/>
  </mergeCells>
  <pageMargins left="0.25" right="0.25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BA3F9-AA2F-410F-9599-0E453DE74FC5}"/>
</file>

<file path=customXml/itemProps2.xml><?xml version="1.0" encoding="utf-8"?>
<ds:datastoreItem xmlns:ds="http://schemas.openxmlformats.org/officeDocument/2006/customXml" ds:itemID="{D3D882D5-A412-48F4-9631-D3C0327EC7A3}"/>
</file>

<file path=customXml/itemProps3.xml><?xml version="1.0" encoding="utf-8"?>
<ds:datastoreItem xmlns:ds="http://schemas.openxmlformats.org/officeDocument/2006/customXml" ds:itemID="{7072F37C-42F8-4FC8-9CAA-3F31EA22B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FET</vt:lpstr>
      <vt:lpstr>SECTORIAL</vt:lpstr>
      <vt:lpstr>SECTORIAL+FET</vt:lpstr>
      <vt:lpstr>FET!Área_de_impresión</vt:lpstr>
      <vt:lpstr>SECTORIAL!Área_de_impresión</vt:lpstr>
      <vt:lpstr>'SECTORIAL+FET'!Área_de_impresión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Paula Andrea Soto (Dirplan)</dc:creator>
  <cp:lastModifiedBy>Carolina Silva Moraga</cp:lastModifiedBy>
  <cp:lastPrinted>2022-01-25T21:05:09Z</cp:lastPrinted>
  <dcterms:created xsi:type="dcterms:W3CDTF">2013-04-18T20:53:30Z</dcterms:created>
  <dcterms:modified xsi:type="dcterms:W3CDTF">2022-01-25T21:05:57Z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