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5431" windowWidth="19425" windowHeight="10425" activeTab="2"/>
  </bookViews>
  <sheets>
    <sheet name="FET" sheetId="1" r:id="rId1"/>
    <sheet name="SECTORIAL" sheetId="2" r:id="rId2"/>
    <sheet name="SECTORIAL+FET" sheetId="3" r:id="rId3"/>
  </sheets>
  <definedNames>
    <definedName name="_xlnm.Print_Area" localSheetId="0">'FET'!$B$1:$L$32</definedName>
    <definedName name="_xlnm.Print_Area" localSheetId="1">'SECTORIAL'!$B$1:$L$32</definedName>
    <definedName name="_xlnm.Print_Area" localSheetId="2">'SECTORIAL+FET'!$B$1:$L$32</definedName>
  </definedNames>
  <calcPr fullCalcOnLoad="1"/>
</workbook>
</file>

<file path=xl/sharedStrings.xml><?xml version="1.0" encoding="utf-8"?>
<sst xmlns="http://schemas.openxmlformats.org/spreadsheetml/2006/main" count="249" uniqueCount="47">
  <si>
    <t>Región</t>
  </si>
  <si>
    <t>REGION</t>
  </si>
  <si>
    <t>Arica y Parinacota</t>
  </si>
  <si>
    <t>Tarapacá</t>
  </si>
  <si>
    <t>Antofagasta</t>
  </si>
  <si>
    <t>Atacama</t>
  </si>
  <si>
    <t>Coquimbo</t>
  </si>
  <si>
    <t>Valparaíso</t>
  </si>
  <si>
    <t>Libertador</t>
  </si>
  <si>
    <t>Maule</t>
  </si>
  <si>
    <t>Bio Bio</t>
  </si>
  <si>
    <t>Araucanía</t>
  </si>
  <si>
    <t>Los Ríos</t>
  </si>
  <si>
    <t>Los Lagos</t>
  </si>
  <si>
    <t>Aisén</t>
  </si>
  <si>
    <t>Magallanes</t>
  </si>
  <si>
    <t xml:space="preserve">Subtotal </t>
  </si>
  <si>
    <t>Metropolitana</t>
  </si>
  <si>
    <t xml:space="preserve">SubTotal </t>
  </si>
  <si>
    <t>Fondos sin decretar</t>
  </si>
  <si>
    <t>Fondos sin decretar (1)</t>
  </si>
  <si>
    <t>FACTOR:</t>
  </si>
  <si>
    <t>TOTAL</t>
  </si>
  <si>
    <t xml:space="preserve">TOTAL </t>
  </si>
  <si>
    <t>TOTAL (2)</t>
  </si>
  <si>
    <t>Ñuble</t>
  </si>
  <si>
    <t>Nuble</t>
  </si>
  <si>
    <t xml:space="preserve">Fondos sin decretar </t>
  </si>
  <si>
    <t>Subtítulo 31 diferencias de montos asignados el año 2021 con respecto al año 2020</t>
  </si>
  <si>
    <t>Inversión Año 2020 en miles de $ 2021</t>
  </si>
  <si>
    <t>Inversión Año 2021 en miles de $ 2021</t>
  </si>
  <si>
    <t>Diferencias en miles de $ 2021</t>
  </si>
  <si>
    <t>Libertador Gral. Bdo. O'Higgins</t>
  </si>
  <si>
    <t>Presupuesto Vigente 2021</t>
  </si>
  <si>
    <r>
      <rPr>
        <b/>
        <sz val="10"/>
        <color indexed="8"/>
        <rFont val="Calibri"/>
        <family val="2"/>
      </rPr>
      <t>Glosa N° 9</t>
    </r>
    <r>
      <rPr>
        <sz val="10"/>
        <color indexed="8"/>
        <rFont val="Calibri"/>
        <family val="2"/>
      </rPr>
      <t>: El Ministerio de Obras Públicas informará trimestralmente a la Comisión Especial Mixta de Presupuestos, en forma separada la inversión contratada y en ejecución que de cuenta detallada de los mayores recursos que, en relación al año 2020, se han asignado para el año 2021 a las regiones distintas de la Región Metropolitana.</t>
    </r>
  </si>
  <si>
    <t>PPTO $2021</t>
  </si>
  <si>
    <t>GASTO $2021</t>
  </si>
  <si>
    <t>ok factor 22/4/21</t>
  </si>
  <si>
    <t>Fondos Sectoriales</t>
  </si>
  <si>
    <t>(Miles de $ 2021)</t>
  </si>
  <si>
    <t>Fondo de Emergencia Transitorio (FET-COVID-19)</t>
  </si>
  <si>
    <t>Fondo de Emergencia Transitorio (FET-COVID-19) + Fondos Sectoriales</t>
  </si>
  <si>
    <t>Presupuesto 30 de septiembre Año 2020</t>
  </si>
  <si>
    <t>Monto Asignado a inversiones en ejecución al 30 de septiembre de 2020</t>
  </si>
  <si>
    <t>Presupuesto 30 de septiembre Año 2021</t>
  </si>
  <si>
    <t>Monto Asignado a inversiones en ejecución al 30 de septiembre de 2021</t>
  </si>
  <si>
    <t>Presupuesto 30 de septiembre de 2020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</si>
</sst>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Fill="1" applyAlignment="1">
      <alignment horizontal="justify" vertical="center" wrapText="1"/>
    </xf>
    <xf numFmtId="20" fontId="44" fillId="0" borderId="0" xfId="0" applyNumberFormat="1" applyFont="1" applyFill="1" applyAlignment="1">
      <alignment horizontal="justify" vertical="center" wrapText="1"/>
    </xf>
    <xf numFmtId="0" fontId="3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52" applyFont="1" applyFill="1" applyBorder="1" applyAlignment="1">
      <alignment vertical="center" wrapText="1"/>
      <protection/>
    </xf>
    <xf numFmtId="165" fontId="3" fillId="0" borderId="10" xfId="47" applyNumberFormat="1" applyFont="1" applyFill="1" applyBorder="1" applyAlignment="1">
      <alignment horizontal="right" vertical="center" wrapText="1"/>
    </xf>
    <xf numFmtId="165" fontId="3" fillId="0" borderId="11" xfId="47" applyNumberFormat="1" applyFont="1" applyFill="1" applyBorder="1" applyAlignment="1">
      <alignment horizontal="right" vertical="center" wrapText="1"/>
    </xf>
    <xf numFmtId="0" fontId="10" fillId="0" borderId="10" xfId="52" applyFont="1" applyFill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4" fillId="16" borderId="10" xfId="52" applyFont="1" applyFill="1" applyBorder="1" applyAlignment="1">
      <alignment vertical="center" wrapText="1"/>
      <protection/>
    </xf>
    <xf numFmtId="165" fontId="4" fillId="16" borderId="10" xfId="47" applyNumberFormat="1" applyFont="1" applyFill="1" applyBorder="1" applyAlignment="1">
      <alignment horizontal="right" vertical="center" wrapText="1"/>
    </xf>
    <xf numFmtId="165" fontId="4" fillId="0" borderId="11" xfId="47" applyNumberFormat="1" applyFont="1" applyFill="1" applyBorder="1" applyAlignment="1">
      <alignment horizontal="right" vertical="center" wrapText="1"/>
    </xf>
    <xf numFmtId="3" fontId="45" fillId="0" borderId="10" xfId="0" applyNumberFormat="1" applyFont="1" applyBorder="1" applyAlignment="1">
      <alignment vertical="center"/>
    </xf>
    <xf numFmtId="3" fontId="46" fillId="0" borderId="12" xfId="0" applyNumberFormat="1" applyFont="1" applyBorder="1" applyAlignment="1">
      <alignment vertical="center"/>
    </xf>
    <xf numFmtId="3" fontId="46" fillId="0" borderId="13" xfId="0" applyNumberFormat="1" applyFont="1" applyBorder="1" applyAlignment="1">
      <alignment vertical="center"/>
    </xf>
    <xf numFmtId="0" fontId="3" fillId="0" borderId="14" xfId="52" applyFont="1" applyFill="1" applyBorder="1" applyAlignment="1">
      <alignment vertical="center" wrapText="1"/>
      <protection/>
    </xf>
    <xf numFmtId="165" fontId="47" fillId="0" borderId="14" xfId="0" applyNumberFormat="1" applyFont="1" applyFill="1" applyBorder="1" applyAlignment="1">
      <alignment vertical="center"/>
    </xf>
    <xf numFmtId="0" fontId="4" fillId="0" borderId="0" xfId="52" applyFont="1" applyFill="1" applyBorder="1" applyAlignment="1">
      <alignment vertical="center" wrapText="1"/>
      <protection/>
    </xf>
    <xf numFmtId="165" fontId="5" fillId="0" borderId="0" xfId="47" applyNumberFormat="1" applyFont="1" applyFill="1" applyBorder="1" applyAlignment="1">
      <alignment horizontal="right" vertical="center" wrapText="1"/>
    </xf>
    <xf numFmtId="0" fontId="0" fillId="0" borderId="0" xfId="0" applyAlignment="1" quotePrefix="1">
      <alignment vertical="center"/>
    </xf>
    <xf numFmtId="166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3" fontId="0" fillId="0" borderId="15" xfId="0" applyNumberFormat="1" applyBorder="1" applyAlignment="1">
      <alignment vertical="center"/>
    </xf>
    <xf numFmtId="3" fontId="45" fillId="0" borderId="15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46" fillId="0" borderId="18" xfId="0" applyNumberFormat="1" applyFont="1" applyBorder="1" applyAlignment="1">
      <alignment vertical="center"/>
    </xf>
    <xf numFmtId="3" fontId="46" fillId="0" borderId="19" xfId="0" applyNumberFormat="1" applyFont="1" applyBorder="1" applyAlignment="1">
      <alignment vertical="center"/>
    </xf>
    <xf numFmtId="3" fontId="45" fillId="0" borderId="18" xfId="0" applyNumberFormat="1" applyFont="1" applyBorder="1" applyAlignment="1">
      <alignment vertical="center"/>
    </xf>
    <xf numFmtId="3" fontId="45" fillId="0" borderId="19" xfId="0" applyNumberFormat="1" applyFont="1" applyBorder="1" applyAlignment="1">
      <alignment vertical="center"/>
    </xf>
    <xf numFmtId="0" fontId="1" fillId="33" borderId="10" xfId="52" applyFont="1" applyFill="1" applyBorder="1" applyAlignment="1">
      <alignment horizontal="center" vertical="center"/>
      <protection/>
    </xf>
    <xf numFmtId="165" fontId="0" fillId="0" borderId="0" xfId="0" applyNumberFormat="1" applyFill="1" applyAlignment="1">
      <alignment vertical="center"/>
    </xf>
    <xf numFmtId="0" fontId="0" fillId="34" borderId="0" xfId="0" applyFill="1" applyAlignment="1">
      <alignment vertical="center"/>
    </xf>
    <xf numFmtId="0" fontId="45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3" fontId="46" fillId="35" borderId="10" xfId="0" applyNumberFormat="1" applyFont="1" applyFill="1" applyBorder="1" applyAlignment="1">
      <alignment vertical="center"/>
    </xf>
    <xf numFmtId="3" fontId="0" fillId="35" borderId="15" xfId="0" applyNumberFormat="1" applyFill="1" applyBorder="1" applyAlignment="1">
      <alignment vertical="center"/>
    </xf>
    <xf numFmtId="3" fontId="46" fillId="35" borderId="15" xfId="0" applyNumberFormat="1" applyFont="1" applyFill="1" applyBorder="1" applyAlignment="1">
      <alignment vertical="center"/>
    </xf>
    <xf numFmtId="3" fontId="0" fillId="36" borderId="10" xfId="0" applyNumberFormat="1" applyFill="1" applyBorder="1" applyAlignment="1">
      <alignment vertical="center"/>
    </xf>
    <xf numFmtId="3" fontId="0" fillId="36" borderId="15" xfId="0" applyNumberFormat="1" applyFill="1" applyBorder="1" applyAlignment="1">
      <alignment vertical="center"/>
    </xf>
    <xf numFmtId="0" fontId="48" fillId="34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65" fontId="49" fillId="0" borderId="10" xfId="0" applyNumberFormat="1" applyFont="1" applyBorder="1" applyAlignment="1">
      <alignment vertical="center"/>
    </xf>
    <xf numFmtId="0" fontId="44" fillId="0" borderId="0" xfId="0" applyFont="1" applyFill="1" applyAlignment="1">
      <alignment horizontal="justify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justify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justify" vertical="center" wrapText="1"/>
    </xf>
    <xf numFmtId="0" fontId="4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1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90" zoomScaleNormal="90" zoomScaleSheetLayoutView="100" zoomScalePageLayoutView="0" workbookViewId="0" topLeftCell="A1">
      <selection activeCell="B1" sqref="B1:L32"/>
    </sheetView>
  </sheetViews>
  <sheetFormatPr defaultColWidth="11.421875" defaultRowHeight="15"/>
  <cols>
    <col min="1" max="1" width="11.421875" style="6" customWidth="1"/>
    <col min="2" max="2" width="12.421875" style="7" customWidth="1"/>
    <col min="3" max="3" width="14.7109375" style="7" customWidth="1"/>
    <col min="4" max="4" width="15.140625" style="7" customWidth="1"/>
    <col min="5" max="5" width="3.8515625" style="11" customWidth="1"/>
    <col min="6" max="6" width="12.421875" style="7" customWidth="1"/>
    <col min="7" max="8" width="15.421875" style="7" customWidth="1"/>
    <col min="9" max="9" width="3.7109375" style="7" customWidth="1"/>
    <col min="10" max="10" width="12.421875" style="7" customWidth="1"/>
    <col min="11" max="11" width="13.28125" style="7" bestFit="1" customWidth="1"/>
    <col min="12" max="12" width="15.140625" style="7" customWidth="1"/>
    <col min="13" max="16" width="11.421875" style="7" customWidth="1"/>
    <col min="17" max="17" width="14.8515625" style="7" customWidth="1"/>
    <col min="18" max="20" width="11.421875" style="7" customWidth="1"/>
    <col min="21" max="16384" width="11.421875" style="7" customWidth="1"/>
  </cols>
  <sheetData>
    <row r="1" spans="2:12" ht="49.5" customHeight="1">
      <c r="B1" s="61" t="s">
        <v>34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2:12" ht="1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15">
      <c r="B3" s="55"/>
      <c r="C3" s="9"/>
      <c r="D3" s="55"/>
      <c r="E3" s="55"/>
      <c r="F3" s="55"/>
      <c r="G3" s="55"/>
      <c r="H3" s="55"/>
      <c r="I3" s="55"/>
      <c r="J3" s="55"/>
      <c r="K3" s="55"/>
      <c r="L3" s="55"/>
    </row>
    <row r="4" spans="2:12" ht="15">
      <c r="B4" s="6"/>
      <c r="C4" s="6"/>
      <c r="D4" s="6"/>
      <c r="F4" s="6"/>
      <c r="G4" s="6"/>
      <c r="H4" s="6"/>
      <c r="I4" s="6"/>
      <c r="J4" s="6"/>
      <c r="K4" s="6"/>
      <c r="L4" s="6"/>
    </row>
    <row r="5" spans="2:12" ht="15">
      <c r="B5" s="62" t="s">
        <v>28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2:12" ht="15">
      <c r="B6" s="62" t="s">
        <v>40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2:12" ht="15">
      <c r="B7" s="62" t="s">
        <v>39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2" ht="1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2:12" s="6" customFormat="1" ht="15">
      <c r="B9" s="5"/>
      <c r="C9" s="56"/>
      <c r="D9" s="56"/>
      <c r="E9" s="56"/>
      <c r="F9" s="5"/>
      <c r="G9" s="56"/>
      <c r="H9" s="56"/>
      <c r="I9" s="56"/>
      <c r="J9" s="56"/>
      <c r="K9" s="56"/>
      <c r="L9" s="56"/>
    </row>
    <row r="10" spans="1:12" s="6" customFormat="1" ht="15">
      <c r="A10" s="10"/>
      <c r="C10" s="60"/>
      <c r="D10" s="53"/>
      <c r="E10" s="60"/>
      <c r="F10" s="60"/>
      <c r="G10" s="60"/>
      <c r="H10" s="60"/>
      <c r="I10" s="60"/>
      <c r="J10" s="60"/>
      <c r="K10" s="60"/>
      <c r="L10" s="60"/>
    </row>
    <row r="11" spans="2:12" s="6" customFormat="1" ht="15">
      <c r="B11" s="63" t="s">
        <v>29</v>
      </c>
      <c r="C11" s="63"/>
      <c r="D11" s="63"/>
      <c r="E11" s="11"/>
      <c r="F11" s="63" t="s">
        <v>30</v>
      </c>
      <c r="G11" s="63"/>
      <c r="H11" s="63"/>
      <c r="J11" s="64" t="s">
        <v>31</v>
      </c>
      <c r="K11" s="64"/>
      <c r="L11" s="64"/>
    </row>
    <row r="12" spans="2:12" ht="45">
      <c r="B12" s="1" t="s">
        <v>1</v>
      </c>
      <c r="C12" s="2" t="s">
        <v>42</v>
      </c>
      <c r="D12" s="1" t="s">
        <v>43</v>
      </c>
      <c r="E12" s="3"/>
      <c r="F12" s="1" t="s">
        <v>1</v>
      </c>
      <c r="G12" s="2" t="s">
        <v>44</v>
      </c>
      <c r="H12" s="1" t="s">
        <v>45</v>
      </c>
      <c r="I12" s="4"/>
      <c r="J12" s="1" t="s">
        <v>1</v>
      </c>
      <c r="K12" s="2" t="s">
        <v>33</v>
      </c>
      <c r="L12" s="2" t="s">
        <v>45</v>
      </c>
    </row>
    <row r="13" spans="2:12" ht="26.25" customHeight="1">
      <c r="B13" s="12" t="s">
        <v>2</v>
      </c>
      <c r="C13" s="13">
        <v>0</v>
      </c>
      <c r="D13" s="13">
        <v>0</v>
      </c>
      <c r="E13" s="14"/>
      <c r="F13" s="12" t="s">
        <v>2</v>
      </c>
      <c r="G13" s="13">
        <f>62957084+1972726</f>
        <v>64929810</v>
      </c>
      <c r="H13" s="13">
        <f>23455328+606947</f>
        <v>24062275</v>
      </c>
      <c r="J13" s="12" t="s">
        <v>2</v>
      </c>
      <c r="K13" s="54">
        <f>+G13-C13</f>
        <v>64929810</v>
      </c>
      <c r="L13" s="54">
        <f>+H13-D13</f>
        <v>24062275</v>
      </c>
    </row>
    <row r="14" spans="2:12" ht="26.25" customHeight="1">
      <c r="B14" s="12" t="s">
        <v>3</v>
      </c>
      <c r="C14" s="13">
        <v>0</v>
      </c>
      <c r="D14" s="13">
        <v>0</v>
      </c>
      <c r="E14" s="14"/>
      <c r="F14" s="12" t="s">
        <v>3</v>
      </c>
      <c r="G14" s="13">
        <f>29761790+1972726</f>
        <v>31734516</v>
      </c>
      <c r="H14" s="13">
        <f>6782620+606947</f>
        <v>7389567</v>
      </c>
      <c r="J14" s="12" t="s">
        <v>3</v>
      </c>
      <c r="K14" s="54">
        <f aca="true" t="shared" si="0" ref="K14:L27">+G14-C14</f>
        <v>31734516</v>
      </c>
      <c r="L14" s="54">
        <f t="shared" si="0"/>
        <v>7389567</v>
      </c>
    </row>
    <row r="15" spans="2:12" ht="26.25" customHeight="1">
      <c r="B15" s="12" t="s">
        <v>4</v>
      </c>
      <c r="C15" s="13">
        <v>0</v>
      </c>
      <c r="D15" s="13">
        <v>0</v>
      </c>
      <c r="E15" s="14"/>
      <c r="F15" s="12" t="s">
        <v>4</v>
      </c>
      <c r="G15" s="13">
        <f>34589193+1997509</f>
        <v>36586702</v>
      </c>
      <c r="H15" s="13">
        <f>14658530+612260</f>
        <v>15270790</v>
      </c>
      <c r="J15" s="12" t="s">
        <v>4</v>
      </c>
      <c r="K15" s="54">
        <f t="shared" si="0"/>
        <v>36586702</v>
      </c>
      <c r="L15" s="54">
        <f t="shared" si="0"/>
        <v>15270790</v>
      </c>
    </row>
    <row r="16" spans="2:12" ht="26.25" customHeight="1">
      <c r="B16" s="12" t="s">
        <v>5</v>
      </c>
      <c r="C16" s="13">
        <v>0</v>
      </c>
      <c r="D16" s="13">
        <v>0</v>
      </c>
      <c r="E16" s="14"/>
      <c r="F16" s="12" t="s">
        <v>5</v>
      </c>
      <c r="G16" s="13">
        <f>40741313+1997509</f>
        <v>42738822</v>
      </c>
      <c r="H16" s="13">
        <f>5248747+612260</f>
        <v>5861007</v>
      </c>
      <c r="J16" s="12" t="s">
        <v>5</v>
      </c>
      <c r="K16" s="54">
        <f t="shared" si="0"/>
        <v>42738822</v>
      </c>
      <c r="L16" s="54">
        <f t="shared" si="0"/>
        <v>5861007</v>
      </c>
    </row>
    <row r="17" spans="2:12" ht="26.25" customHeight="1">
      <c r="B17" s="12" t="s">
        <v>6</v>
      </c>
      <c r="C17" s="13">
        <v>0</v>
      </c>
      <c r="D17" s="13">
        <v>0</v>
      </c>
      <c r="E17" s="14"/>
      <c r="F17" s="12" t="s">
        <v>6</v>
      </c>
      <c r="G17" s="13">
        <f>32121333+1997509</f>
        <v>34118842</v>
      </c>
      <c r="H17" s="13">
        <f>12393854+612260</f>
        <v>13006114</v>
      </c>
      <c r="J17" s="12" t="s">
        <v>6</v>
      </c>
      <c r="K17" s="54">
        <f t="shared" si="0"/>
        <v>34118842</v>
      </c>
      <c r="L17" s="54">
        <f t="shared" si="0"/>
        <v>13006114</v>
      </c>
    </row>
    <row r="18" spans="2:12" ht="26.25" customHeight="1">
      <c r="B18" s="12" t="s">
        <v>7</v>
      </c>
      <c r="C18" s="13">
        <v>0</v>
      </c>
      <c r="D18" s="13">
        <v>0</v>
      </c>
      <c r="E18" s="14"/>
      <c r="F18" s="12" t="s">
        <v>7</v>
      </c>
      <c r="G18" s="13">
        <f>80783419+2261184</f>
        <v>83044603</v>
      </c>
      <c r="H18" s="13">
        <f>40326274+644219</f>
        <v>40970493</v>
      </c>
      <c r="J18" s="12" t="s">
        <v>7</v>
      </c>
      <c r="K18" s="54">
        <f t="shared" si="0"/>
        <v>83044603</v>
      </c>
      <c r="L18" s="54">
        <f t="shared" si="0"/>
        <v>40970493</v>
      </c>
    </row>
    <row r="19" spans="2:12" ht="26.25" customHeight="1">
      <c r="B19" s="12" t="s">
        <v>32</v>
      </c>
      <c r="C19" s="13">
        <v>0</v>
      </c>
      <c r="D19" s="13">
        <v>0</v>
      </c>
      <c r="E19" s="14"/>
      <c r="F19" s="12" t="s">
        <v>32</v>
      </c>
      <c r="G19" s="13">
        <f>28258156+2182992</f>
        <v>30441148</v>
      </c>
      <c r="H19" s="13">
        <f>10408762+625530</f>
        <v>11034292</v>
      </c>
      <c r="J19" s="12" t="s">
        <v>32</v>
      </c>
      <c r="K19" s="54">
        <f t="shared" si="0"/>
        <v>30441148</v>
      </c>
      <c r="L19" s="54">
        <f t="shared" si="0"/>
        <v>11034292</v>
      </c>
    </row>
    <row r="20" spans="2:12" ht="26.25" customHeight="1">
      <c r="B20" s="12" t="s">
        <v>9</v>
      </c>
      <c r="C20" s="13">
        <v>0</v>
      </c>
      <c r="D20" s="13">
        <v>0</v>
      </c>
      <c r="E20" s="14"/>
      <c r="F20" s="12" t="s">
        <v>9</v>
      </c>
      <c r="G20" s="13">
        <f>35741607+2207776</f>
        <v>37949383</v>
      </c>
      <c r="H20" s="13">
        <f>15151690+630843</f>
        <v>15782533</v>
      </c>
      <c r="J20" s="12" t="s">
        <v>9</v>
      </c>
      <c r="K20" s="54">
        <f t="shared" si="0"/>
        <v>37949383</v>
      </c>
      <c r="L20" s="54">
        <f t="shared" si="0"/>
        <v>15782533</v>
      </c>
    </row>
    <row r="21" spans="2:12" ht="26.25" customHeight="1">
      <c r="B21" s="12" t="s">
        <v>25</v>
      </c>
      <c r="C21" s="13">
        <v>0</v>
      </c>
      <c r="D21" s="13">
        <v>0</v>
      </c>
      <c r="E21" s="14"/>
      <c r="F21" s="12" t="s">
        <v>25</v>
      </c>
      <c r="G21" s="13">
        <f>29607922+2502992</f>
        <v>32110914</v>
      </c>
      <c r="H21" s="13">
        <f>7643390+625530</f>
        <v>8268920</v>
      </c>
      <c r="J21" s="12" t="s">
        <v>25</v>
      </c>
      <c r="K21" s="54">
        <f t="shared" si="0"/>
        <v>32110914</v>
      </c>
      <c r="L21" s="54">
        <f t="shared" si="0"/>
        <v>8268920</v>
      </c>
    </row>
    <row r="22" spans="2:12" ht="26.25" customHeight="1">
      <c r="B22" s="12" t="s">
        <v>10</v>
      </c>
      <c r="C22" s="13">
        <v>0</v>
      </c>
      <c r="D22" s="13">
        <v>0</v>
      </c>
      <c r="E22" s="14"/>
      <c r="F22" s="12" t="s">
        <v>10</v>
      </c>
      <c r="G22" s="13">
        <f>65652624+2581184</f>
        <v>68233808</v>
      </c>
      <c r="H22" s="13">
        <f>15762569+644219</f>
        <v>16406788</v>
      </c>
      <c r="J22" s="12" t="s">
        <v>10</v>
      </c>
      <c r="K22" s="54">
        <f t="shared" si="0"/>
        <v>68233808</v>
      </c>
      <c r="L22" s="54">
        <f t="shared" si="0"/>
        <v>16406788</v>
      </c>
    </row>
    <row r="23" spans="1:12" ht="26.25" customHeight="1">
      <c r="A23" s="7"/>
      <c r="B23" s="12" t="s">
        <v>11</v>
      </c>
      <c r="C23" s="13">
        <v>0</v>
      </c>
      <c r="D23" s="13">
        <v>0</v>
      </c>
      <c r="E23" s="14"/>
      <c r="F23" s="12" t="s">
        <v>11</v>
      </c>
      <c r="G23" s="13">
        <f>44696717+2127879</f>
        <v>46824596</v>
      </c>
      <c r="H23" s="13">
        <f>8565689+680050</f>
        <v>9245739</v>
      </c>
      <c r="J23" s="12" t="s">
        <v>11</v>
      </c>
      <c r="K23" s="54">
        <f t="shared" si="0"/>
        <v>46824596</v>
      </c>
      <c r="L23" s="54">
        <f t="shared" si="0"/>
        <v>9245739</v>
      </c>
    </row>
    <row r="24" spans="1:12" ht="26.25" customHeight="1">
      <c r="A24" s="7"/>
      <c r="B24" s="12" t="s">
        <v>12</v>
      </c>
      <c r="C24" s="13">
        <v>0</v>
      </c>
      <c r="D24" s="13">
        <v>0</v>
      </c>
      <c r="E24" s="14"/>
      <c r="F24" s="12" t="s">
        <v>12</v>
      </c>
      <c r="G24" s="13">
        <f>33876021+2191464</f>
        <v>36067485</v>
      </c>
      <c r="H24" s="13">
        <f>8797414+685574</f>
        <v>9482988</v>
      </c>
      <c r="J24" s="12" t="s">
        <v>12</v>
      </c>
      <c r="K24" s="54">
        <f t="shared" si="0"/>
        <v>36067485</v>
      </c>
      <c r="L24" s="54">
        <f t="shared" si="0"/>
        <v>9482988</v>
      </c>
    </row>
    <row r="25" spans="1:12" ht="26.25" customHeight="1">
      <c r="A25" s="7"/>
      <c r="B25" s="12" t="s">
        <v>13</v>
      </c>
      <c r="C25" s="13">
        <v>0</v>
      </c>
      <c r="D25" s="13">
        <v>0</v>
      </c>
      <c r="E25" s="14"/>
      <c r="F25" s="12" t="s">
        <v>13</v>
      </c>
      <c r="G25" s="13">
        <f>92989543+2506649</f>
        <v>95496192</v>
      </c>
      <c r="H25" s="13">
        <f>22466947+701063</f>
        <v>23168010</v>
      </c>
      <c r="J25" s="12" t="s">
        <v>13</v>
      </c>
      <c r="K25" s="54">
        <f t="shared" si="0"/>
        <v>95496192</v>
      </c>
      <c r="L25" s="54">
        <f t="shared" si="0"/>
        <v>23168010</v>
      </c>
    </row>
    <row r="26" spans="1:12" ht="26.25" customHeight="1">
      <c r="A26" s="7"/>
      <c r="B26" s="12" t="s">
        <v>14</v>
      </c>
      <c r="C26" s="13">
        <v>0</v>
      </c>
      <c r="D26" s="13">
        <v>0</v>
      </c>
      <c r="E26" s="14"/>
      <c r="F26" s="12" t="s">
        <v>14</v>
      </c>
      <c r="G26" s="13">
        <f>20826700+2411279</f>
        <v>23237979</v>
      </c>
      <c r="H26" s="13">
        <f>4625101+641829</f>
        <v>5266930</v>
      </c>
      <c r="J26" s="12" t="s">
        <v>14</v>
      </c>
      <c r="K26" s="54">
        <f t="shared" si="0"/>
        <v>23237979</v>
      </c>
      <c r="L26" s="54">
        <f t="shared" si="0"/>
        <v>5266930</v>
      </c>
    </row>
    <row r="27" spans="1:12" ht="26.25" customHeight="1">
      <c r="A27" s="7"/>
      <c r="B27" s="12" t="s">
        <v>15</v>
      </c>
      <c r="C27" s="13">
        <v>0</v>
      </c>
      <c r="D27" s="13">
        <v>0</v>
      </c>
      <c r="E27" s="14"/>
      <c r="F27" s="12" t="s">
        <v>15</v>
      </c>
      <c r="G27" s="13">
        <f>23294218+2137760</f>
        <v>25431978</v>
      </c>
      <c r="H27" s="13">
        <f>1890193+636623</f>
        <v>2526816</v>
      </c>
      <c r="J27" s="12" t="s">
        <v>15</v>
      </c>
      <c r="K27" s="54">
        <f t="shared" si="0"/>
        <v>25431978</v>
      </c>
      <c r="L27" s="54">
        <f t="shared" si="0"/>
        <v>2526816</v>
      </c>
    </row>
    <row r="28" spans="1:12" ht="26.25" customHeight="1">
      <c r="A28" s="7"/>
      <c r="B28" s="17" t="s">
        <v>16</v>
      </c>
      <c r="C28" s="18">
        <f>SUM(C13:C27)</f>
        <v>0</v>
      </c>
      <c r="D28" s="18">
        <f>SUM(D13:D27)</f>
        <v>0</v>
      </c>
      <c r="E28" s="19"/>
      <c r="F28" s="17" t="s">
        <v>16</v>
      </c>
      <c r="G28" s="18">
        <f>SUM(G13:G27)</f>
        <v>688946778</v>
      </c>
      <c r="H28" s="18">
        <f>SUM(H13:H27)</f>
        <v>207743262</v>
      </c>
      <c r="J28" s="17" t="s">
        <v>16</v>
      </c>
      <c r="K28" s="18">
        <f>SUM(K13:K27)</f>
        <v>688946778</v>
      </c>
      <c r="L28" s="18">
        <f>SUM(L13:L27)</f>
        <v>207743262</v>
      </c>
    </row>
    <row r="29" spans="1:12" ht="26.25" customHeight="1">
      <c r="A29" s="7"/>
      <c r="B29" s="12" t="s">
        <v>17</v>
      </c>
      <c r="C29" s="13">
        <v>0</v>
      </c>
      <c r="D29" s="13">
        <v>0</v>
      </c>
      <c r="E29" s="14"/>
      <c r="F29" s="12" t="s">
        <v>17</v>
      </c>
      <c r="G29" s="13">
        <f>47997659+2236400</f>
        <v>50234059</v>
      </c>
      <c r="H29" s="13">
        <f>19893529+638906-3</f>
        <v>20532432</v>
      </c>
      <c r="J29" s="12" t="s">
        <v>17</v>
      </c>
      <c r="K29" s="54">
        <f>+G29-C29</f>
        <v>50234059</v>
      </c>
      <c r="L29" s="54">
        <f>+H29-D29</f>
        <v>20532432</v>
      </c>
    </row>
    <row r="30" spans="1:12" ht="26.25" customHeight="1">
      <c r="A30" s="7"/>
      <c r="B30" s="17" t="s">
        <v>18</v>
      </c>
      <c r="C30" s="18">
        <f>+C28+C29</f>
        <v>0</v>
      </c>
      <c r="D30" s="18">
        <f>+D28+D29</f>
        <v>0</v>
      </c>
      <c r="E30" s="19"/>
      <c r="F30" s="17" t="s">
        <v>18</v>
      </c>
      <c r="G30" s="18">
        <f>+G28+G29</f>
        <v>739180837</v>
      </c>
      <c r="H30" s="18">
        <f>+H28+H29</f>
        <v>228275694</v>
      </c>
      <c r="J30" s="17" t="s">
        <v>18</v>
      </c>
      <c r="K30" s="18">
        <f>+K28+K29</f>
        <v>739180837</v>
      </c>
      <c r="L30" s="18">
        <f>+L28+L29</f>
        <v>228275694</v>
      </c>
    </row>
    <row r="31" spans="1:12" ht="26.25" customHeight="1">
      <c r="A31" s="7"/>
      <c r="B31" s="12" t="s">
        <v>19</v>
      </c>
      <c r="C31" s="13">
        <v>0</v>
      </c>
      <c r="D31" s="13">
        <v>0</v>
      </c>
      <c r="E31" s="14"/>
      <c r="F31" s="12" t="s">
        <v>27</v>
      </c>
      <c r="G31" s="13">
        <f>749174422-739180841+4</f>
        <v>9993585</v>
      </c>
      <c r="H31" s="13"/>
      <c r="J31" s="23"/>
      <c r="K31" s="24"/>
      <c r="L31" s="24"/>
    </row>
    <row r="32" spans="1:17" ht="26.25" customHeight="1">
      <c r="A32" s="7"/>
      <c r="B32" s="17" t="s">
        <v>22</v>
      </c>
      <c r="C32" s="18">
        <f>+C31+C30</f>
        <v>0</v>
      </c>
      <c r="D32" s="18">
        <f>+D31+D30</f>
        <v>0</v>
      </c>
      <c r="E32" s="19"/>
      <c r="F32" s="17" t="s">
        <v>23</v>
      </c>
      <c r="G32" s="18">
        <f>+G31+G30</f>
        <v>749174422</v>
      </c>
      <c r="H32" s="18">
        <f>+H31+H30</f>
        <v>228275694</v>
      </c>
      <c r="J32" s="25"/>
      <c r="K32" s="26"/>
      <c r="L32" s="26"/>
      <c r="Q32" s="29"/>
    </row>
    <row r="33" spans="1:7" ht="15">
      <c r="A33" s="7"/>
      <c r="C33" s="16"/>
      <c r="D33" s="16"/>
      <c r="G33" s="6"/>
    </row>
    <row r="34" spans="2:11" ht="15">
      <c r="B34" s="6"/>
      <c r="C34" s="6"/>
      <c r="D34" s="6"/>
      <c r="F34" s="6"/>
      <c r="G34" s="42"/>
      <c r="H34" s="42"/>
      <c r="I34" s="6"/>
      <c r="J34" s="6"/>
      <c r="K34" s="6"/>
    </row>
    <row r="35" spans="2:11" ht="15">
      <c r="B35" s="6"/>
      <c r="C35" s="42"/>
      <c r="D35" s="42"/>
      <c r="F35" s="6"/>
      <c r="G35" s="42"/>
      <c r="H35" s="42"/>
      <c r="I35" s="6"/>
      <c r="J35" s="6"/>
      <c r="K35" s="6"/>
    </row>
    <row r="37" spans="1:8" ht="15">
      <c r="A37" s="7"/>
      <c r="H37" s="29"/>
    </row>
    <row r="38" spans="1:7" ht="15">
      <c r="A38" s="7"/>
      <c r="G38" s="16"/>
    </row>
    <row r="39" spans="1:7" ht="15">
      <c r="A39" s="7"/>
      <c r="E39" s="7"/>
      <c r="G39" s="16"/>
    </row>
  </sheetData>
  <sheetProtection/>
  <mergeCells count="7">
    <mergeCell ref="B1:L1"/>
    <mergeCell ref="B5:L5"/>
    <mergeCell ref="B7:L7"/>
    <mergeCell ref="B11:D11"/>
    <mergeCell ref="F11:H11"/>
    <mergeCell ref="J11:L11"/>
    <mergeCell ref="B6:L6"/>
  </mergeCells>
  <printOptions/>
  <pageMargins left="0.25" right="0.25" top="0.75" bottom="0.75" header="0.3" footer="0.3"/>
  <pageSetup fitToHeight="0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="90" zoomScaleNormal="90" zoomScaleSheetLayoutView="100" zoomScalePageLayoutView="0" workbookViewId="0" topLeftCell="A1">
      <selection activeCell="B1" sqref="B1:L32"/>
    </sheetView>
  </sheetViews>
  <sheetFormatPr defaultColWidth="11.421875" defaultRowHeight="15"/>
  <cols>
    <col min="1" max="1" width="11.421875" style="6" customWidth="1"/>
    <col min="2" max="2" width="12.421875" style="7" customWidth="1"/>
    <col min="3" max="3" width="14.7109375" style="7" customWidth="1"/>
    <col min="4" max="4" width="15.140625" style="7" customWidth="1"/>
    <col min="5" max="5" width="3.8515625" style="11" customWidth="1"/>
    <col min="6" max="6" width="12.421875" style="7" customWidth="1"/>
    <col min="7" max="8" width="15.421875" style="7" customWidth="1"/>
    <col min="9" max="9" width="3.7109375" style="7" customWidth="1"/>
    <col min="10" max="10" width="12.421875" style="7" customWidth="1"/>
    <col min="11" max="11" width="13.28125" style="7" bestFit="1" customWidth="1"/>
    <col min="12" max="12" width="15.140625" style="7" customWidth="1"/>
    <col min="13" max="14" width="11.421875" style="7" customWidth="1"/>
    <col min="15" max="15" width="16.57421875" style="7" hidden="1" customWidth="1"/>
    <col min="16" max="16" width="14.00390625" style="7" hidden="1" customWidth="1"/>
    <col min="17" max="17" width="15.7109375" style="7" hidden="1" customWidth="1"/>
    <col min="18" max="18" width="14.7109375" style="7" hidden="1" customWidth="1"/>
    <col min="19" max="19" width="14.28125" style="7" hidden="1" customWidth="1"/>
    <col min="20" max="20" width="11.421875" style="7" hidden="1" customWidth="1"/>
    <col min="21" max="21" width="15.421875" style="7" customWidth="1"/>
    <col min="22" max="22" width="14.8515625" style="7" customWidth="1"/>
    <col min="23" max="25" width="11.421875" style="7" customWidth="1"/>
    <col min="26" max="16384" width="11.421875" style="7" customWidth="1"/>
  </cols>
  <sheetData>
    <row r="1" spans="2:12" ht="49.5" customHeight="1">
      <c r="B1" s="61" t="s">
        <v>34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2:12" ht="1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5">
      <c r="B3" s="8"/>
      <c r="C3" s="9"/>
      <c r="D3" s="8"/>
      <c r="E3" s="8"/>
      <c r="F3" s="8"/>
      <c r="G3" s="8"/>
      <c r="H3" s="8"/>
      <c r="I3" s="8"/>
      <c r="J3" s="8"/>
      <c r="K3" s="8"/>
      <c r="L3" s="8"/>
    </row>
    <row r="4" spans="2:12" ht="15">
      <c r="B4" s="6"/>
      <c r="C4" s="6"/>
      <c r="D4" s="6"/>
      <c r="F4" s="6"/>
      <c r="G4" s="6"/>
      <c r="H4" s="6"/>
      <c r="I4" s="6"/>
      <c r="J4" s="6"/>
      <c r="K4" s="6"/>
      <c r="L4" s="6"/>
    </row>
    <row r="5" spans="2:12" ht="15">
      <c r="B5" s="62" t="s">
        <v>28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2:12" ht="15">
      <c r="B6" s="62" t="s">
        <v>38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2:12" ht="15">
      <c r="B7" s="62" t="s">
        <v>39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2" ht="1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7" s="6" customFormat="1" ht="15">
      <c r="B9" s="5"/>
      <c r="C9" s="59"/>
      <c r="D9" s="59"/>
      <c r="E9" s="30"/>
      <c r="F9" s="5"/>
      <c r="G9" s="52"/>
      <c r="H9" s="52"/>
      <c r="I9" s="30"/>
      <c r="J9" s="30"/>
      <c r="K9" s="30"/>
      <c r="L9" s="30"/>
      <c r="O9" s="51" t="s">
        <v>37</v>
      </c>
      <c r="P9" s="51"/>
      <c r="Q9" s="51"/>
    </row>
    <row r="10" spans="1:16" s="6" customFormat="1" ht="15">
      <c r="A10" s="10"/>
      <c r="C10" s="59"/>
      <c r="D10" s="53"/>
      <c r="E10" s="30"/>
      <c r="F10" s="30"/>
      <c r="G10" s="30"/>
      <c r="H10" s="30"/>
      <c r="I10" s="30"/>
      <c r="J10" s="30"/>
      <c r="K10" s="30"/>
      <c r="L10" s="30"/>
      <c r="O10" s="6" t="s">
        <v>21</v>
      </c>
      <c r="P10" s="43">
        <v>1.0225</v>
      </c>
    </row>
    <row r="11" spans="2:12" s="6" customFormat="1" ht="15.75" thickBot="1">
      <c r="B11" s="63" t="s">
        <v>29</v>
      </c>
      <c r="C11" s="63"/>
      <c r="D11" s="63"/>
      <c r="E11" s="11"/>
      <c r="F11" s="63" t="s">
        <v>30</v>
      </c>
      <c r="G11" s="63"/>
      <c r="H11" s="63"/>
      <c r="J11" s="64" t="s">
        <v>31</v>
      </c>
      <c r="K11" s="64"/>
      <c r="L11" s="64"/>
    </row>
    <row r="12" spans="2:19" ht="75">
      <c r="B12" s="1" t="s">
        <v>1</v>
      </c>
      <c r="C12" s="2" t="s">
        <v>42</v>
      </c>
      <c r="D12" s="1" t="s">
        <v>43</v>
      </c>
      <c r="E12" s="3"/>
      <c r="F12" s="1" t="s">
        <v>1</v>
      </c>
      <c r="G12" s="2" t="s">
        <v>44</v>
      </c>
      <c r="H12" s="1" t="s">
        <v>45</v>
      </c>
      <c r="I12" s="4"/>
      <c r="J12" s="1" t="s">
        <v>1</v>
      </c>
      <c r="K12" s="2" t="s">
        <v>33</v>
      </c>
      <c r="L12" s="2" t="s">
        <v>45</v>
      </c>
      <c r="O12" s="41" t="s">
        <v>0</v>
      </c>
      <c r="P12" s="45" t="s">
        <v>46</v>
      </c>
      <c r="Q12" s="31" t="s">
        <v>43</v>
      </c>
      <c r="R12" s="35" t="s">
        <v>35</v>
      </c>
      <c r="S12" s="36" t="s">
        <v>36</v>
      </c>
    </row>
    <row r="13" spans="2:19" ht="26.25" customHeight="1">
      <c r="B13" s="12" t="s">
        <v>2</v>
      </c>
      <c r="C13" s="13">
        <v>98468254.0975</v>
      </c>
      <c r="D13" s="13">
        <v>63830987.864999995</v>
      </c>
      <c r="E13" s="14"/>
      <c r="F13" s="12" t="s">
        <v>2</v>
      </c>
      <c r="G13" s="13">
        <f>92130539+2532960</f>
        <v>94663499</v>
      </c>
      <c r="H13" s="13">
        <f>69781213+1504893</f>
        <v>71286106</v>
      </c>
      <c r="J13" s="12" t="s">
        <v>2</v>
      </c>
      <c r="K13" s="54">
        <f>+G13-C13</f>
        <v>-3804755.0974999964</v>
      </c>
      <c r="L13" s="54">
        <f>+H13-D13</f>
        <v>7455118.135000005</v>
      </c>
      <c r="O13" s="15" t="s">
        <v>2</v>
      </c>
      <c r="P13" s="46">
        <v>96301471</v>
      </c>
      <c r="Q13" s="47">
        <v>62426394</v>
      </c>
      <c r="R13" s="37">
        <f>+P13*$P$10</f>
        <v>98468254.0975</v>
      </c>
      <c r="S13" s="38">
        <f>+Q13*$P$10</f>
        <v>63830987.864999995</v>
      </c>
    </row>
    <row r="14" spans="2:19" ht="26.25" customHeight="1">
      <c r="B14" s="12" t="s">
        <v>3</v>
      </c>
      <c r="C14" s="13">
        <v>77445793.1575</v>
      </c>
      <c r="D14" s="13">
        <v>42181417.449999996</v>
      </c>
      <c r="E14" s="14"/>
      <c r="F14" s="12" t="s">
        <v>3</v>
      </c>
      <c r="G14" s="13">
        <f>40781937+3083116</f>
        <v>43865053</v>
      </c>
      <c r="H14" s="13">
        <f>26745558+1821729</f>
        <v>28567287</v>
      </c>
      <c r="J14" s="12" t="s">
        <v>3</v>
      </c>
      <c r="K14" s="54">
        <f aca="true" t="shared" si="0" ref="K14:L27">+G14-C14</f>
        <v>-33580740.1575</v>
      </c>
      <c r="L14" s="54">
        <f t="shared" si="0"/>
        <v>-13614130.449999996</v>
      </c>
      <c r="O14" s="15" t="s">
        <v>3</v>
      </c>
      <c r="P14" s="46">
        <v>75741607</v>
      </c>
      <c r="Q14" s="47">
        <v>41253220</v>
      </c>
      <c r="R14" s="37">
        <f aca="true" t="shared" si="1" ref="R14:S27">+P14*$P$10</f>
        <v>77445793.1575</v>
      </c>
      <c r="S14" s="38">
        <f t="shared" si="1"/>
        <v>42181417.449999996</v>
      </c>
    </row>
    <row r="15" spans="2:19" ht="26.25" customHeight="1">
      <c r="B15" s="12" t="s">
        <v>4</v>
      </c>
      <c r="C15" s="13">
        <v>104680513.175</v>
      </c>
      <c r="D15" s="13">
        <v>53608645.3425</v>
      </c>
      <c r="E15" s="14"/>
      <c r="F15" s="12" t="s">
        <v>4</v>
      </c>
      <c r="G15" s="13">
        <f>83522042+3078724</f>
        <v>86600766</v>
      </c>
      <c r="H15" s="13">
        <f>63511095+1838099</f>
        <v>65349194</v>
      </c>
      <c r="J15" s="12" t="s">
        <v>4</v>
      </c>
      <c r="K15" s="54">
        <f t="shared" si="0"/>
        <v>-18079747.174999997</v>
      </c>
      <c r="L15" s="54">
        <f t="shared" si="0"/>
        <v>11740548.657499999</v>
      </c>
      <c r="O15" s="15" t="s">
        <v>4</v>
      </c>
      <c r="P15" s="46">
        <v>102377030</v>
      </c>
      <c r="Q15" s="47">
        <v>52428993</v>
      </c>
      <c r="R15" s="37">
        <f t="shared" si="1"/>
        <v>104680513.175</v>
      </c>
      <c r="S15" s="38">
        <f t="shared" si="1"/>
        <v>53608645.3425</v>
      </c>
    </row>
    <row r="16" spans="2:19" ht="26.25" customHeight="1">
      <c r="B16" s="12" t="s">
        <v>5</v>
      </c>
      <c r="C16" s="13">
        <v>55707160.9475</v>
      </c>
      <c r="D16" s="13">
        <v>32761270.145</v>
      </c>
      <c r="E16" s="14"/>
      <c r="F16" s="12" t="s">
        <v>5</v>
      </c>
      <c r="G16" s="13">
        <f>56769641+3864213</f>
        <v>60633854</v>
      </c>
      <c r="H16" s="13">
        <f>35684353+1660709</f>
        <v>37345062</v>
      </c>
      <c r="J16" s="12" t="s">
        <v>5</v>
      </c>
      <c r="K16" s="54">
        <f t="shared" si="0"/>
        <v>4926693.052500002</v>
      </c>
      <c r="L16" s="54">
        <f t="shared" si="0"/>
        <v>4583791.855</v>
      </c>
      <c r="O16" s="15" t="s">
        <v>5</v>
      </c>
      <c r="P16" s="46">
        <v>54481331</v>
      </c>
      <c r="Q16" s="47">
        <v>32040362</v>
      </c>
      <c r="R16" s="37">
        <f t="shared" si="1"/>
        <v>55707160.9475</v>
      </c>
      <c r="S16" s="38">
        <f t="shared" si="1"/>
        <v>32761270.145</v>
      </c>
    </row>
    <row r="17" spans="2:19" ht="26.25" customHeight="1">
      <c r="B17" s="12" t="s">
        <v>6</v>
      </c>
      <c r="C17" s="13">
        <v>156917691.5375</v>
      </c>
      <c r="D17" s="13">
        <v>102673816.02499999</v>
      </c>
      <c r="E17" s="14"/>
      <c r="F17" s="12" t="s">
        <v>6</v>
      </c>
      <c r="G17" s="13">
        <f>128558720+10230538</f>
        <v>138789258</v>
      </c>
      <c r="H17" s="13">
        <f>101822233+5523569</f>
        <v>107345802</v>
      </c>
      <c r="J17" s="12" t="s">
        <v>6</v>
      </c>
      <c r="K17" s="54">
        <f t="shared" si="0"/>
        <v>-18128433.537499994</v>
      </c>
      <c r="L17" s="54">
        <f t="shared" si="0"/>
        <v>4671985.975000009</v>
      </c>
      <c r="O17" s="15" t="s">
        <v>6</v>
      </c>
      <c r="P17" s="46">
        <v>153464735</v>
      </c>
      <c r="Q17" s="47">
        <v>100414490</v>
      </c>
      <c r="R17" s="37">
        <f t="shared" si="1"/>
        <v>156917691.5375</v>
      </c>
      <c r="S17" s="38">
        <f t="shared" si="1"/>
        <v>102673816.02499999</v>
      </c>
    </row>
    <row r="18" spans="2:19" ht="26.25" customHeight="1">
      <c r="B18" s="12" t="s">
        <v>7</v>
      </c>
      <c r="C18" s="13">
        <v>208297437.1875</v>
      </c>
      <c r="D18" s="13">
        <v>133933306.6775</v>
      </c>
      <c r="E18" s="14"/>
      <c r="F18" s="12" t="s">
        <v>7</v>
      </c>
      <c r="G18" s="13">
        <f>140703553+34630547</f>
        <v>175334100</v>
      </c>
      <c r="H18" s="13">
        <f>93171889+9703347</f>
        <v>102875236</v>
      </c>
      <c r="J18" s="12" t="s">
        <v>7</v>
      </c>
      <c r="K18" s="54">
        <f t="shared" si="0"/>
        <v>-32963337.1875</v>
      </c>
      <c r="L18" s="54">
        <f t="shared" si="0"/>
        <v>-31058070.677499995</v>
      </c>
      <c r="O18" s="15" t="s">
        <v>7</v>
      </c>
      <c r="P18" s="46">
        <v>203713875</v>
      </c>
      <c r="Q18" s="47">
        <v>130986119</v>
      </c>
      <c r="R18" s="37">
        <f t="shared" si="1"/>
        <v>208297437.1875</v>
      </c>
      <c r="S18" s="38">
        <f t="shared" si="1"/>
        <v>133933306.6775</v>
      </c>
    </row>
    <row r="19" spans="2:19" ht="26.25" customHeight="1">
      <c r="B19" s="12" t="s">
        <v>32</v>
      </c>
      <c r="C19" s="13">
        <v>92416295.4125</v>
      </c>
      <c r="D19" s="13">
        <v>55839263.857499994</v>
      </c>
      <c r="E19" s="14"/>
      <c r="F19" s="12" t="s">
        <v>32</v>
      </c>
      <c r="G19" s="13">
        <f>75899794+7733255</f>
        <v>83633049</v>
      </c>
      <c r="H19" s="13">
        <f>35981750+5487359</f>
        <v>41469109</v>
      </c>
      <c r="J19" s="12" t="s">
        <v>32</v>
      </c>
      <c r="K19" s="54">
        <f t="shared" si="0"/>
        <v>-8783246.412499994</v>
      </c>
      <c r="L19" s="54">
        <f t="shared" si="0"/>
        <v>-14370154.857499994</v>
      </c>
      <c r="O19" s="15" t="s">
        <v>8</v>
      </c>
      <c r="P19" s="46">
        <v>90382685</v>
      </c>
      <c r="Q19" s="47">
        <v>54610527</v>
      </c>
      <c r="R19" s="37">
        <f t="shared" si="1"/>
        <v>92416295.4125</v>
      </c>
      <c r="S19" s="38">
        <f t="shared" si="1"/>
        <v>55839263.857499994</v>
      </c>
    </row>
    <row r="20" spans="2:19" ht="26.25" customHeight="1">
      <c r="B20" s="12" t="s">
        <v>9</v>
      </c>
      <c r="C20" s="13">
        <v>134027031.07249999</v>
      </c>
      <c r="D20" s="13">
        <v>69763840.6375</v>
      </c>
      <c r="E20" s="14"/>
      <c r="F20" s="12" t="s">
        <v>9</v>
      </c>
      <c r="G20" s="13">
        <f>96704009+5520339</f>
        <v>102224348</v>
      </c>
      <c r="H20" s="13">
        <f>65798650+3769996</f>
        <v>69568646</v>
      </c>
      <c r="J20" s="12" t="s">
        <v>9</v>
      </c>
      <c r="K20" s="54">
        <f t="shared" si="0"/>
        <v>-31802683.07249999</v>
      </c>
      <c r="L20" s="54">
        <f t="shared" si="0"/>
        <v>-195194.63750000298</v>
      </c>
      <c r="O20" s="15" t="s">
        <v>9</v>
      </c>
      <c r="P20" s="46">
        <v>131077781</v>
      </c>
      <c r="Q20" s="47">
        <v>68228695</v>
      </c>
      <c r="R20" s="37">
        <f t="shared" si="1"/>
        <v>134027031.07249999</v>
      </c>
      <c r="S20" s="38">
        <f t="shared" si="1"/>
        <v>69763840.6375</v>
      </c>
    </row>
    <row r="21" spans="2:19" ht="26.25" customHeight="1">
      <c r="B21" s="12" t="s">
        <v>25</v>
      </c>
      <c r="C21" s="13">
        <v>50794745.7925</v>
      </c>
      <c r="D21" s="13">
        <v>23450229.724999998</v>
      </c>
      <c r="E21" s="14"/>
      <c r="F21" s="12" t="s">
        <v>25</v>
      </c>
      <c r="G21" s="13">
        <f>64146111+6161048</f>
        <v>70307159</v>
      </c>
      <c r="H21" s="13">
        <f>27130153+4089091</f>
        <v>31219244</v>
      </c>
      <c r="J21" s="12" t="s">
        <v>25</v>
      </c>
      <c r="K21" s="54">
        <f>+G21-C21</f>
        <v>19512413.207500003</v>
      </c>
      <c r="L21" s="54">
        <f>+H21-D21</f>
        <v>7769014.275000002</v>
      </c>
      <c r="O21" s="15" t="s">
        <v>26</v>
      </c>
      <c r="P21" s="46">
        <v>49677013</v>
      </c>
      <c r="Q21" s="47">
        <v>22934210</v>
      </c>
      <c r="R21" s="37">
        <f t="shared" si="1"/>
        <v>50794745.7925</v>
      </c>
      <c r="S21" s="38">
        <f t="shared" si="1"/>
        <v>23450229.724999998</v>
      </c>
    </row>
    <row r="22" spans="2:19" ht="26.25" customHeight="1">
      <c r="B22" s="12" t="s">
        <v>10</v>
      </c>
      <c r="C22" s="13">
        <v>131228418.92</v>
      </c>
      <c r="D22" s="13">
        <v>69641344.115</v>
      </c>
      <c r="E22" s="14"/>
      <c r="F22" s="12" t="s">
        <v>10</v>
      </c>
      <c r="G22" s="13">
        <f>125447024+9979178</f>
        <v>135426202</v>
      </c>
      <c r="H22" s="13">
        <f>70154961+6726857</f>
        <v>76881818</v>
      </c>
      <c r="J22" s="12" t="s">
        <v>10</v>
      </c>
      <c r="K22" s="54">
        <f t="shared" si="0"/>
        <v>4197783.079999998</v>
      </c>
      <c r="L22" s="54">
        <f t="shared" si="0"/>
        <v>7240473.885000005</v>
      </c>
      <c r="O22" s="15" t="s">
        <v>10</v>
      </c>
      <c r="P22" s="46">
        <v>128340752</v>
      </c>
      <c r="Q22" s="47">
        <v>68108894</v>
      </c>
      <c r="R22" s="37">
        <f t="shared" si="1"/>
        <v>131228418.92</v>
      </c>
      <c r="S22" s="38">
        <f t="shared" si="1"/>
        <v>69641344.115</v>
      </c>
    </row>
    <row r="23" spans="1:19" ht="26.25" customHeight="1">
      <c r="A23" s="7"/>
      <c r="B23" s="12" t="s">
        <v>11</v>
      </c>
      <c r="C23" s="13">
        <v>185509314.045</v>
      </c>
      <c r="D23" s="13">
        <v>93142490.25</v>
      </c>
      <c r="E23" s="14"/>
      <c r="F23" s="12" t="s">
        <v>11</v>
      </c>
      <c r="G23" s="13">
        <f>152992406+8559269</f>
        <v>161551675</v>
      </c>
      <c r="H23" s="13">
        <f>93978731+4392910</f>
        <v>98371641</v>
      </c>
      <c r="J23" s="12" t="s">
        <v>11</v>
      </c>
      <c r="K23" s="54">
        <f t="shared" si="0"/>
        <v>-23957639.044999987</v>
      </c>
      <c r="L23" s="54">
        <f t="shared" si="0"/>
        <v>5229150.75</v>
      </c>
      <c r="O23" s="15" t="s">
        <v>11</v>
      </c>
      <c r="P23" s="46">
        <v>181427202</v>
      </c>
      <c r="Q23" s="47">
        <v>91092900</v>
      </c>
      <c r="R23" s="37">
        <f t="shared" si="1"/>
        <v>185509314.045</v>
      </c>
      <c r="S23" s="38">
        <f t="shared" si="1"/>
        <v>93142490.25</v>
      </c>
    </row>
    <row r="24" spans="1:19" ht="26.25" customHeight="1">
      <c r="A24" s="7"/>
      <c r="B24" s="12" t="s">
        <v>12</v>
      </c>
      <c r="C24" s="13">
        <v>162366081.765</v>
      </c>
      <c r="D24" s="13">
        <v>60138829.3225</v>
      </c>
      <c r="E24" s="14"/>
      <c r="F24" s="12" t="s">
        <v>12</v>
      </c>
      <c r="G24" s="13">
        <f>114122795+20421137</f>
        <v>134543932</v>
      </c>
      <c r="H24" s="13">
        <f>71789097+2429219</f>
        <v>74218316</v>
      </c>
      <c r="J24" s="12" t="s">
        <v>12</v>
      </c>
      <c r="K24" s="54">
        <f t="shared" si="0"/>
        <v>-27822149.764999986</v>
      </c>
      <c r="L24" s="54">
        <f t="shared" si="0"/>
        <v>14079486.677500002</v>
      </c>
      <c r="O24" s="15" t="s">
        <v>12</v>
      </c>
      <c r="P24" s="46">
        <v>158793234</v>
      </c>
      <c r="Q24" s="47">
        <v>58815481</v>
      </c>
      <c r="R24" s="37">
        <f t="shared" si="1"/>
        <v>162366081.765</v>
      </c>
      <c r="S24" s="38">
        <f t="shared" si="1"/>
        <v>60138829.3225</v>
      </c>
    </row>
    <row r="25" spans="1:19" ht="26.25" customHeight="1">
      <c r="A25" s="7"/>
      <c r="B25" s="12" t="s">
        <v>13</v>
      </c>
      <c r="C25" s="13">
        <v>219212164.5625</v>
      </c>
      <c r="D25" s="13">
        <v>105462063.095</v>
      </c>
      <c r="E25" s="14"/>
      <c r="F25" s="12" t="s">
        <v>13</v>
      </c>
      <c r="G25" s="13">
        <f>222720618+18761254</f>
        <v>241481872</v>
      </c>
      <c r="H25" s="13">
        <f>120673593+2136901</f>
        <v>122810494</v>
      </c>
      <c r="J25" s="12" t="s">
        <v>13</v>
      </c>
      <c r="K25" s="54">
        <f t="shared" si="0"/>
        <v>22269707.4375</v>
      </c>
      <c r="L25" s="54">
        <f t="shared" si="0"/>
        <v>17348430.905</v>
      </c>
      <c r="O25" s="15" t="s">
        <v>13</v>
      </c>
      <c r="P25" s="46">
        <v>214388425</v>
      </c>
      <c r="Q25" s="47">
        <v>103141382</v>
      </c>
      <c r="R25" s="37">
        <f t="shared" si="1"/>
        <v>219212164.5625</v>
      </c>
      <c r="S25" s="38">
        <f t="shared" si="1"/>
        <v>105462063.095</v>
      </c>
    </row>
    <row r="26" spans="1:19" ht="26.25" customHeight="1">
      <c r="A26" s="7"/>
      <c r="B26" s="12" t="s">
        <v>14</v>
      </c>
      <c r="C26" s="13">
        <v>92939630.34</v>
      </c>
      <c r="D26" s="13">
        <v>45876198.705</v>
      </c>
      <c r="E26" s="14"/>
      <c r="F26" s="12" t="s">
        <v>14</v>
      </c>
      <c r="G26" s="13">
        <f>71598422+2473890</f>
        <v>74072312</v>
      </c>
      <c r="H26" s="13">
        <f>36193444+1470224</f>
        <v>37663668</v>
      </c>
      <c r="J26" s="12" t="s">
        <v>14</v>
      </c>
      <c r="K26" s="54">
        <f t="shared" si="0"/>
        <v>-18867318.340000004</v>
      </c>
      <c r="L26" s="54">
        <f t="shared" si="0"/>
        <v>-8212530.704999998</v>
      </c>
      <c r="O26" s="15" t="s">
        <v>14</v>
      </c>
      <c r="P26" s="46">
        <v>90894504</v>
      </c>
      <c r="Q26" s="47">
        <v>44866698</v>
      </c>
      <c r="R26" s="37">
        <f t="shared" si="1"/>
        <v>92939630.34</v>
      </c>
      <c r="S26" s="38">
        <f t="shared" si="1"/>
        <v>45876198.705</v>
      </c>
    </row>
    <row r="27" spans="1:19" ht="26.25" customHeight="1">
      <c r="A27" s="7"/>
      <c r="B27" s="12" t="s">
        <v>15</v>
      </c>
      <c r="C27" s="13">
        <v>65449137.059999995</v>
      </c>
      <c r="D27" s="13">
        <v>32202061.8275</v>
      </c>
      <c r="E27" s="14"/>
      <c r="F27" s="12" t="s">
        <v>15</v>
      </c>
      <c r="G27" s="13">
        <f>50907960+2473890</f>
        <v>53381850</v>
      </c>
      <c r="H27" s="13">
        <f>25450397+1470224</f>
        <v>26920621</v>
      </c>
      <c r="J27" s="12" t="s">
        <v>15</v>
      </c>
      <c r="K27" s="54">
        <f t="shared" si="0"/>
        <v>-12067287.059999995</v>
      </c>
      <c r="L27" s="54">
        <f t="shared" si="0"/>
        <v>-5281440.827500001</v>
      </c>
      <c r="O27" s="15" t="s">
        <v>15</v>
      </c>
      <c r="P27" s="46">
        <v>64008936</v>
      </c>
      <c r="Q27" s="47">
        <v>31493459</v>
      </c>
      <c r="R27" s="37">
        <f t="shared" si="1"/>
        <v>65449137.059999995</v>
      </c>
      <c r="S27" s="38">
        <f t="shared" si="1"/>
        <v>32202061.8275</v>
      </c>
    </row>
    <row r="28" spans="1:19" ht="26.25" customHeight="1">
      <c r="A28" s="7"/>
      <c r="B28" s="17" t="s">
        <v>16</v>
      </c>
      <c r="C28" s="18">
        <f>SUM(C13:C27)</f>
        <v>1835459669.0725</v>
      </c>
      <c r="D28" s="18">
        <f>SUM(D13:D27)</f>
        <v>984505765.0400001</v>
      </c>
      <c r="E28" s="19"/>
      <c r="F28" s="17" t="s">
        <v>16</v>
      </c>
      <c r="G28" s="18">
        <f>SUM(G13:G27)</f>
        <v>1656508929</v>
      </c>
      <c r="H28" s="18">
        <f>SUM(H13:H27)</f>
        <v>991892244</v>
      </c>
      <c r="J28" s="17" t="s">
        <v>16</v>
      </c>
      <c r="K28" s="18">
        <f>SUM(K13:K27)</f>
        <v>-178950740.07249996</v>
      </c>
      <c r="L28" s="18">
        <f>SUM(L13:L27)</f>
        <v>7386478.960000038</v>
      </c>
      <c r="O28" s="44" t="s">
        <v>16</v>
      </c>
      <c r="P28" s="20">
        <f>SUM(P13:P27)</f>
        <v>1795070581</v>
      </c>
      <c r="Q28" s="33">
        <f>SUM(Q13:Q27)</f>
        <v>962841824</v>
      </c>
      <c r="R28" s="39">
        <f>SUM(R13:R27)</f>
        <v>1835459669.0725</v>
      </c>
      <c r="S28" s="40">
        <f>SUM(S13:S27)</f>
        <v>984505765.0400001</v>
      </c>
    </row>
    <row r="29" spans="1:19" ht="26.25" customHeight="1">
      <c r="A29" s="7"/>
      <c r="B29" s="12" t="s">
        <v>17</v>
      </c>
      <c r="C29" s="13">
        <v>182191783.14249998</v>
      </c>
      <c r="D29" s="13">
        <v>113445950.6625</v>
      </c>
      <c r="E29" s="14"/>
      <c r="F29" s="12" t="s">
        <v>17</v>
      </c>
      <c r="G29" s="13">
        <f>239604575+39674962</f>
        <v>279279537</v>
      </c>
      <c r="H29" s="13">
        <f>151908363+13514310+1</f>
        <v>165422674</v>
      </c>
      <c r="J29" s="12" t="s">
        <v>17</v>
      </c>
      <c r="K29" s="54">
        <f>+G29-C29</f>
        <v>97087753.85750002</v>
      </c>
      <c r="L29" s="54">
        <f>+H29-D29</f>
        <v>51976723.337500006</v>
      </c>
      <c r="O29" s="15" t="s">
        <v>17</v>
      </c>
      <c r="P29" s="46">
        <v>178182673</v>
      </c>
      <c r="Q29" s="48">
        <v>110949585</v>
      </c>
      <c r="R29" s="37">
        <f>+P29*$P$10</f>
        <v>182191783.14249998</v>
      </c>
      <c r="S29" s="38">
        <f>+Q29*$P$10</f>
        <v>113445950.6625</v>
      </c>
    </row>
    <row r="30" spans="1:19" ht="26.25" customHeight="1">
      <c r="A30" s="7"/>
      <c r="B30" s="17" t="s">
        <v>18</v>
      </c>
      <c r="C30" s="18">
        <f>+C28+C29</f>
        <v>2017651452.215</v>
      </c>
      <c r="D30" s="18">
        <f>+D28+D29</f>
        <v>1097951715.7025</v>
      </c>
      <c r="E30" s="19"/>
      <c r="F30" s="17" t="s">
        <v>18</v>
      </c>
      <c r="G30" s="18">
        <f>+G28+G29</f>
        <v>1935788466</v>
      </c>
      <c r="H30" s="18">
        <f>+H28+H29</f>
        <v>1157314918</v>
      </c>
      <c r="J30" s="17" t="s">
        <v>18</v>
      </c>
      <c r="K30" s="18">
        <f>+K28+K29</f>
        <v>-81862986.21499994</v>
      </c>
      <c r="L30" s="18">
        <f>+L28+L29</f>
        <v>59363202.297500044</v>
      </c>
      <c r="O30" s="44" t="s">
        <v>18</v>
      </c>
      <c r="P30" s="20">
        <f>SUM(P28:P29)</f>
        <v>1973253254</v>
      </c>
      <c r="Q30" s="33">
        <f>SUM(Q28:Q29)</f>
        <v>1073791409</v>
      </c>
      <c r="R30" s="39">
        <f>SUM(R28:R29)</f>
        <v>2017651452.215</v>
      </c>
      <c r="S30" s="40">
        <f>SUM(S28:S29)</f>
        <v>1097951715.7025</v>
      </c>
    </row>
    <row r="31" spans="1:19" ht="26.25" customHeight="1">
      <c r="A31" s="7"/>
      <c r="B31" s="12" t="s">
        <v>19</v>
      </c>
      <c r="C31" s="13">
        <v>3905862.065</v>
      </c>
      <c r="D31" s="13"/>
      <c r="E31" s="14"/>
      <c r="F31" s="12" t="s">
        <v>27</v>
      </c>
      <c r="G31" s="13">
        <f>29243378-1</f>
        <v>29243377</v>
      </c>
      <c r="H31" s="13"/>
      <c r="J31" s="23"/>
      <c r="K31" s="24"/>
      <c r="L31" s="24"/>
      <c r="O31" s="15" t="s">
        <v>20</v>
      </c>
      <c r="P31" s="46">
        <v>3819914</v>
      </c>
      <c r="Q31" s="32"/>
      <c r="R31" s="37">
        <f>+P31*$P$10</f>
        <v>3905862.065</v>
      </c>
      <c r="S31" s="38"/>
    </row>
    <row r="32" spans="1:22" ht="26.25" customHeight="1" thickBot="1">
      <c r="A32" s="7"/>
      <c r="B32" s="17" t="s">
        <v>22</v>
      </c>
      <c r="C32" s="18">
        <f>+C31+C30</f>
        <v>2021557314.28</v>
      </c>
      <c r="D32" s="18">
        <f>+D31+D30</f>
        <v>1097951715.7025</v>
      </c>
      <c r="E32" s="19"/>
      <c r="F32" s="17" t="s">
        <v>23</v>
      </c>
      <c r="G32" s="18">
        <f>+G31+G30</f>
        <v>1965031843</v>
      </c>
      <c r="H32" s="18">
        <f>+H31+H30</f>
        <v>1157314918</v>
      </c>
      <c r="J32" s="25"/>
      <c r="K32" s="26"/>
      <c r="L32" s="26"/>
      <c r="O32" s="34" t="s">
        <v>24</v>
      </c>
      <c r="P32" s="49">
        <f>SUM(P30:P31)</f>
        <v>1977073168</v>
      </c>
      <c r="Q32" s="50">
        <f>SUM(Q30:Q31)</f>
        <v>1073791409</v>
      </c>
      <c r="R32" s="21">
        <f>SUM(R30:R31)</f>
        <v>2021557314.28</v>
      </c>
      <c r="S32" s="22">
        <f>SUM(S30:S31)</f>
        <v>1097951715.7025</v>
      </c>
      <c r="V32" s="29"/>
    </row>
    <row r="33" spans="1:19" ht="15">
      <c r="A33" s="7"/>
      <c r="C33" s="16"/>
      <c r="D33" s="16"/>
      <c r="G33" s="6"/>
      <c r="P33" s="27"/>
      <c r="Q33" s="27"/>
      <c r="R33" s="28">
        <f>+R32-C32</f>
        <v>0</v>
      </c>
      <c r="S33" s="28">
        <f>+S32-D32</f>
        <v>0</v>
      </c>
    </row>
    <row r="34" spans="2:19" ht="15">
      <c r="B34" s="6"/>
      <c r="C34" s="6"/>
      <c r="D34" s="6"/>
      <c r="F34" s="6"/>
      <c r="G34" s="42"/>
      <c r="H34" s="42"/>
      <c r="I34" s="6"/>
      <c r="J34" s="6"/>
      <c r="K34" s="6"/>
      <c r="R34" s="28">
        <f>+P32*$P$10</f>
        <v>2021557314.28</v>
      </c>
      <c r="S34" s="28">
        <f>+Q32*$P$10</f>
        <v>1097951715.7024999</v>
      </c>
    </row>
    <row r="35" spans="2:11" ht="15">
      <c r="B35" s="6"/>
      <c r="C35" s="42"/>
      <c r="D35" s="42"/>
      <c r="F35" s="6"/>
      <c r="G35" s="42"/>
      <c r="H35" s="42"/>
      <c r="I35" s="6"/>
      <c r="J35" s="6"/>
      <c r="K35" s="6"/>
    </row>
    <row r="36" spans="7:19" ht="15.75" thickBot="1">
      <c r="G36" s="29"/>
      <c r="H36" s="29"/>
      <c r="P36" s="7">
        <f>+P32*P10</f>
        <v>2021557314.28</v>
      </c>
      <c r="Q36" s="7">
        <f>+Q32*P10</f>
        <v>1097951715.7024999</v>
      </c>
      <c r="R36" s="22"/>
      <c r="S36" s="22"/>
    </row>
    <row r="37" spans="1:8" ht="15">
      <c r="A37" s="7"/>
      <c r="H37" s="29"/>
    </row>
    <row r="38" spans="1:7" ht="15">
      <c r="A38" s="7"/>
      <c r="G38" s="16"/>
    </row>
    <row r="39" spans="1:7" ht="15">
      <c r="A39" s="7"/>
      <c r="E39" s="7"/>
      <c r="G39" s="16"/>
    </row>
    <row r="40" spans="14:21" ht="15">
      <c r="N40" s="6"/>
      <c r="O40" s="6"/>
      <c r="P40" s="6"/>
      <c r="Q40" s="6"/>
      <c r="R40" s="6"/>
      <c r="S40" s="6"/>
      <c r="T40" s="6"/>
      <c r="U40" s="6"/>
    </row>
    <row r="41" spans="14:21" ht="15">
      <c r="N41" s="10"/>
      <c r="O41" s="10"/>
      <c r="P41" s="6"/>
      <c r="Q41" s="6"/>
      <c r="R41" s="6"/>
      <c r="S41" s="6"/>
      <c r="T41" s="6"/>
      <c r="U41" s="6"/>
    </row>
    <row r="42" spans="14:21" ht="15">
      <c r="N42" s="6"/>
      <c r="O42" s="6"/>
      <c r="P42" s="6"/>
      <c r="Q42" s="6"/>
      <c r="R42" s="6"/>
      <c r="S42" s="6"/>
      <c r="T42" s="6"/>
      <c r="U42" s="6"/>
    </row>
    <row r="43" spans="14:21" ht="15">
      <c r="N43" s="6"/>
      <c r="O43" s="6"/>
      <c r="P43" s="6"/>
      <c r="Q43" s="6"/>
      <c r="R43" s="6"/>
      <c r="S43" s="6"/>
      <c r="T43" s="6"/>
      <c r="U43" s="6"/>
    </row>
    <row r="44" spans="14:21" ht="15">
      <c r="N44" s="6"/>
      <c r="O44" s="6"/>
      <c r="P44" s="6"/>
      <c r="Q44" s="6"/>
      <c r="R44" s="6"/>
      <c r="S44" s="6"/>
      <c r="T44" s="6"/>
      <c r="U44" s="6"/>
    </row>
  </sheetData>
  <sheetProtection/>
  <mergeCells count="7">
    <mergeCell ref="B1:L1"/>
    <mergeCell ref="B5:L5"/>
    <mergeCell ref="B7:L7"/>
    <mergeCell ref="B11:D11"/>
    <mergeCell ref="F11:H11"/>
    <mergeCell ref="J11:L11"/>
    <mergeCell ref="B6:L6"/>
  </mergeCells>
  <printOptions/>
  <pageMargins left="0.25" right="0.25" top="0.75" bottom="0.75" header="0.3" footer="0.3"/>
  <pageSetup fitToHeight="0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90" zoomScaleNormal="90" zoomScaleSheetLayoutView="100" zoomScalePageLayoutView="0" workbookViewId="0" topLeftCell="A1">
      <selection activeCell="B1" sqref="B1:L32"/>
    </sheetView>
  </sheetViews>
  <sheetFormatPr defaultColWidth="11.421875" defaultRowHeight="15"/>
  <cols>
    <col min="1" max="1" width="11.421875" style="6" customWidth="1"/>
    <col min="2" max="2" width="12.421875" style="7" customWidth="1"/>
    <col min="3" max="3" width="16.140625" style="7" customWidth="1"/>
    <col min="4" max="4" width="15.140625" style="7" customWidth="1"/>
    <col min="5" max="5" width="3.8515625" style="11" customWidth="1"/>
    <col min="6" max="6" width="12.421875" style="7" customWidth="1"/>
    <col min="7" max="8" width="15.421875" style="7" customWidth="1"/>
    <col min="9" max="9" width="3.7109375" style="7" customWidth="1"/>
    <col min="10" max="10" width="12.421875" style="7" customWidth="1"/>
    <col min="11" max="11" width="13.28125" style="7" bestFit="1" customWidth="1"/>
    <col min="12" max="12" width="15.140625" style="7" customWidth="1"/>
    <col min="13" max="14" width="11.421875" style="7" customWidth="1"/>
    <col min="15" max="15" width="14.7109375" style="7" customWidth="1"/>
    <col min="16" max="16" width="11.421875" style="7" customWidth="1"/>
    <col min="17" max="17" width="14.8515625" style="7" customWidth="1"/>
    <col min="18" max="20" width="11.421875" style="7" customWidth="1"/>
    <col min="21" max="16384" width="11.421875" style="7" customWidth="1"/>
  </cols>
  <sheetData>
    <row r="1" spans="2:12" ht="49.5" customHeight="1">
      <c r="B1" s="61" t="s">
        <v>34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2:12" ht="1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ht="15">
      <c r="B3" s="57"/>
      <c r="C3" s="9"/>
      <c r="D3" s="57"/>
      <c r="E3" s="57"/>
      <c r="F3" s="57"/>
      <c r="G3" s="57"/>
      <c r="H3" s="57"/>
      <c r="I3" s="57"/>
      <c r="J3" s="57"/>
      <c r="K3" s="57"/>
      <c r="L3" s="57"/>
    </row>
    <row r="4" spans="2:12" ht="15">
      <c r="B4" s="6"/>
      <c r="C4" s="6"/>
      <c r="D4" s="6"/>
      <c r="F4" s="6"/>
      <c r="G4" s="6"/>
      <c r="H4" s="6"/>
      <c r="I4" s="6"/>
      <c r="J4" s="6"/>
      <c r="K4" s="6"/>
      <c r="L4" s="6"/>
    </row>
    <row r="5" spans="2:12" ht="15">
      <c r="B5" s="62" t="s">
        <v>28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2:12" ht="15">
      <c r="B6" s="62" t="s">
        <v>41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2:12" ht="15">
      <c r="B7" s="62" t="s">
        <v>39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2" ht="15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2:12" s="6" customFormat="1" ht="15">
      <c r="B9" s="5"/>
      <c r="C9" s="58"/>
      <c r="D9" s="58"/>
      <c r="E9" s="58"/>
      <c r="F9" s="5"/>
      <c r="G9" s="58"/>
      <c r="H9" s="58"/>
      <c r="I9" s="58"/>
      <c r="J9" s="58"/>
      <c r="K9" s="58"/>
      <c r="L9" s="58"/>
    </row>
    <row r="10" spans="1:12" s="6" customFormat="1" ht="15">
      <c r="A10" s="10"/>
      <c r="C10" s="58"/>
      <c r="D10" s="53"/>
      <c r="E10" s="58"/>
      <c r="F10" s="58"/>
      <c r="G10" s="58"/>
      <c r="H10" s="58"/>
      <c r="I10" s="58"/>
      <c r="J10" s="58"/>
      <c r="K10" s="58"/>
      <c r="L10" s="58"/>
    </row>
    <row r="11" spans="2:12" s="6" customFormat="1" ht="15">
      <c r="B11" s="63" t="s">
        <v>29</v>
      </c>
      <c r="C11" s="63"/>
      <c r="D11" s="63"/>
      <c r="E11" s="11"/>
      <c r="F11" s="63" t="s">
        <v>30</v>
      </c>
      <c r="G11" s="63"/>
      <c r="H11" s="63"/>
      <c r="J11" s="64" t="s">
        <v>31</v>
      </c>
      <c r="K11" s="64"/>
      <c r="L11" s="64"/>
    </row>
    <row r="12" spans="2:12" ht="45">
      <c r="B12" s="1" t="s">
        <v>1</v>
      </c>
      <c r="C12" s="2" t="s">
        <v>42</v>
      </c>
      <c r="D12" s="1" t="s">
        <v>43</v>
      </c>
      <c r="E12" s="3"/>
      <c r="F12" s="1" t="s">
        <v>1</v>
      </c>
      <c r="G12" s="2" t="s">
        <v>44</v>
      </c>
      <c r="H12" s="1" t="s">
        <v>45</v>
      </c>
      <c r="I12" s="4"/>
      <c r="J12" s="1" t="s">
        <v>1</v>
      </c>
      <c r="K12" s="2" t="s">
        <v>33</v>
      </c>
      <c r="L12" s="2" t="s">
        <v>45</v>
      </c>
    </row>
    <row r="13" spans="2:12" ht="26.25" customHeight="1">
      <c r="B13" s="12" t="s">
        <v>2</v>
      </c>
      <c r="C13" s="13">
        <f>+FET!C13+SECTORIAL!C13</f>
        <v>98468254.0975</v>
      </c>
      <c r="D13" s="13">
        <f>+FET!D13+SECTORIAL!D13</f>
        <v>63830987.864999995</v>
      </c>
      <c r="E13" s="14"/>
      <c r="F13" s="12" t="s">
        <v>2</v>
      </c>
      <c r="G13" s="13">
        <f>+FET!G13+SECTORIAL!G13</f>
        <v>159593309</v>
      </c>
      <c r="H13" s="13">
        <f>+FET!H13+SECTORIAL!H13</f>
        <v>95348381</v>
      </c>
      <c r="J13" s="12" t="s">
        <v>2</v>
      </c>
      <c r="K13" s="54">
        <f>+G13-C13</f>
        <v>61125054.9025</v>
      </c>
      <c r="L13" s="54">
        <f>+H13-D13</f>
        <v>31517393.135000005</v>
      </c>
    </row>
    <row r="14" spans="2:12" ht="26.25" customHeight="1">
      <c r="B14" s="12" t="s">
        <v>3</v>
      </c>
      <c r="C14" s="13">
        <f>+FET!C14+SECTORIAL!C14</f>
        <v>77445793.1575</v>
      </c>
      <c r="D14" s="13">
        <f>+FET!D14+SECTORIAL!D14</f>
        <v>42181417.449999996</v>
      </c>
      <c r="E14" s="14"/>
      <c r="F14" s="12" t="s">
        <v>3</v>
      </c>
      <c r="G14" s="13">
        <f>+FET!G14+SECTORIAL!G14</f>
        <v>75599569</v>
      </c>
      <c r="H14" s="13">
        <f>+FET!H14+SECTORIAL!H14</f>
        <v>35956854</v>
      </c>
      <c r="J14" s="12" t="s">
        <v>3</v>
      </c>
      <c r="K14" s="54">
        <f aca="true" t="shared" si="0" ref="K14:K29">+G14-C14</f>
        <v>-1846224.1574999988</v>
      </c>
      <c r="L14" s="54">
        <f aca="true" t="shared" si="1" ref="L14:L29">+H14-D14</f>
        <v>-6224563.4499999955</v>
      </c>
    </row>
    <row r="15" spans="2:12" ht="26.25" customHeight="1">
      <c r="B15" s="12" t="s">
        <v>4</v>
      </c>
      <c r="C15" s="13">
        <f>+FET!C15+SECTORIAL!C15</f>
        <v>104680513.175</v>
      </c>
      <c r="D15" s="13">
        <f>+FET!D15+SECTORIAL!D15</f>
        <v>53608645.3425</v>
      </c>
      <c r="E15" s="14"/>
      <c r="F15" s="12" t="s">
        <v>4</v>
      </c>
      <c r="G15" s="13">
        <f>+FET!G15+SECTORIAL!G15</f>
        <v>123187468</v>
      </c>
      <c r="H15" s="13">
        <f>+FET!H15+SECTORIAL!H15</f>
        <v>80619984</v>
      </c>
      <c r="J15" s="12" t="s">
        <v>4</v>
      </c>
      <c r="K15" s="54">
        <f t="shared" si="0"/>
        <v>18506954.825000003</v>
      </c>
      <c r="L15" s="54">
        <f t="shared" si="1"/>
        <v>27011338.6575</v>
      </c>
    </row>
    <row r="16" spans="2:12" ht="26.25" customHeight="1">
      <c r="B16" s="12" t="s">
        <v>5</v>
      </c>
      <c r="C16" s="13">
        <f>+FET!C16+SECTORIAL!C16</f>
        <v>55707160.9475</v>
      </c>
      <c r="D16" s="13">
        <f>+FET!D16+SECTORIAL!D16</f>
        <v>32761270.145</v>
      </c>
      <c r="E16" s="14"/>
      <c r="F16" s="12" t="s">
        <v>5</v>
      </c>
      <c r="G16" s="13">
        <f>+FET!G16+SECTORIAL!G16</f>
        <v>103372676</v>
      </c>
      <c r="H16" s="13">
        <f>+FET!H16+SECTORIAL!H16</f>
        <v>43206069</v>
      </c>
      <c r="J16" s="12" t="s">
        <v>5</v>
      </c>
      <c r="K16" s="54">
        <f t="shared" si="0"/>
        <v>47665515.0525</v>
      </c>
      <c r="L16" s="54">
        <f t="shared" si="1"/>
        <v>10444798.855</v>
      </c>
    </row>
    <row r="17" spans="2:12" ht="26.25" customHeight="1">
      <c r="B17" s="12" t="s">
        <v>6</v>
      </c>
      <c r="C17" s="13">
        <f>+FET!C17+SECTORIAL!C17</f>
        <v>156917691.5375</v>
      </c>
      <c r="D17" s="13">
        <f>+FET!D17+SECTORIAL!D17</f>
        <v>102673816.02499999</v>
      </c>
      <c r="E17" s="14"/>
      <c r="F17" s="12" t="s">
        <v>6</v>
      </c>
      <c r="G17" s="13">
        <f>+FET!G17+SECTORIAL!G17</f>
        <v>172908100</v>
      </c>
      <c r="H17" s="13">
        <f>+FET!H17+SECTORIAL!H17</f>
        <v>120351916</v>
      </c>
      <c r="J17" s="12" t="s">
        <v>6</v>
      </c>
      <c r="K17" s="54">
        <f t="shared" si="0"/>
        <v>15990408.462500006</v>
      </c>
      <c r="L17" s="54">
        <f t="shared" si="1"/>
        <v>17678099.97500001</v>
      </c>
    </row>
    <row r="18" spans="2:12" ht="26.25" customHeight="1">
      <c r="B18" s="12" t="s">
        <v>7</v>
      </c>
      <c r="C18" s="13">
        <f>+FET!C18+SECTORIAL!C18</f>
        <v>208297437.1875</v>
      </c>
      <c r="D18" s="13">
        <f>+FET!D18+SECTORIAL!D18</f>
        <v>133933306.6775</v>
      </c>
      <c r="E18" s="14"/>
      <c r="F18" s="12" t="s">
        <v>7</v>
      </c>
      <c r="G18" s="13">
        <f>+FET!G18+SECTORIAL!G18</f>
        <v>258378703</v>
      </c>
      <c r="H18" s="13">
        <f>+FET!H18+SECTORIAL!H18</f>
        <v>143845729</v>
      </c>
      <c r="J18" s="12" t="s">
        <v>7</v>
      </c>
      <c r="K18" s="54">
        <f t="shared" si="0"/>
        <v>50081265.8125</v>
      </c>
      <c r="L18" s="54">
        <f t="shared" si="1"/>
        <v>9912422.322500005</v>
      </c>
    </row>
    <row r="19" spans="2:12" ht="26.25" customHeight="1">
      <c r="B19" s="12" t="s">
        <v>32</v>
      </c>
      <c r="C19" s="13">
        <f>+FET!C19+SECTORIAL!C19</f>
        <v>92416295.4125</v>
      </c>
      <c r="D19" s="13">
        <f>+FET!D19+SECTORIAL!D19</f>
        <v>55839263.857499994</v>
      </c>
      <c r="E19" s="14"/>
      <c r="F19" s="12" t="s">
        <v>32</v>
      </c>
      <c r="G19" s="13">
        <f>+FET!G19+SECTORIAL!G19</f>
        <v>114074197</v>
      </c>
      <c r="H19" s="13">
        <f>+FET!H19+SECTORIAL!H19</f>
        <v>52503401</v>
      </c>
      <c r="J19" s="12" t="s">
        <v>32</v>
      </c>
      <c r="K19" s="54">
        <f t="shared" si="0"/>
        <v>21657901.587500006</v>
      </c>
      <c r="L19" s="54">
        <f t="shared" si="1"/>
        <v>-3335862.8574999943</v>
      </c>
    </row>
    <row r="20" spans="2:12" ht="26.25" customHeight="1">
      <c r="B20" s="12" t="s">
        <v>9</v>
      </c>
      <c r="C20" s="13">
        <f>+FET!C20+SECTORIAL!C20</f>
        <v>134027031.07249999</v>
      </c>
      <c r="D20" s="13">
        <f>+FET!D20+SECTORIAL!D20</f>
        <v>69763840.6375</v>
      </c>
      <c r="E20" s="14"/>
      <c r="F20" s="12" t="s">
        <v>9</v>
      </c>
      <c r="G20" s="13">
        <f>+FET!G20+SECTORIAL!G20</f>
        <v>140173731</v>
      </c>
      <c r="H20" s="13">
        <f>+FET!H20+SECTORIAL!H20</f>
        <v>85351179</v>
      </c>
      <c r="J20" s="12" t="s">
        <v>9</v>
      </c>
      <c r="K20" s="54">
        <f t="shared" si="0"/>
        <v>6146699.92750001</v>
      </c>
      <c r="L20" s="54">
        <f t="shared" si="1"/>
        <v>15587338.362499997</v>
      </c>
    </row>
    <row r="21" spans="2:12" ht="26.25" customHeight="1">
      <c r="B21" s="12" t="s">
        <v>25</v>
      </c>
      <c r="C21" s="13">
        <f>+FET!C21+SECTORIAL!C21</f>
        <v>50794745.7925</v>
      </c>
      <c r="D21" s="13">
        <f>+FET!D21+SECTORIAL!D21</f>
        <v>23450229.724999998</v>
      </c>
      <c r="E21" s="14"/>
      <c r="F21" s="12" t="s">
        <v>25</v>
      </c>
      <c r="G21" s="13">
        <f>+FET!G21+SECTORIAL!G21</f>
        <v>102418073</v>
      </c>
      <c r="H21" s="13">
        <f>+FET!H21+SECTORIAL!H21</f>
        <v>39488164</v>
      </c>
      <c r="J21" s="12" t="s">
        <v>25</v>
      </c>
      <c r="K21" s="54">
        <f t="shared" si="0"/>
        <v>51623327.2075</v>
      </c>
      <c r="L21" s="54">
        <f t="shared" si="1"/>
        <v>16037934.275000002</v>
      </c>
    </row>
    <row r="22" spans="2:12" ht="26.25" customHeight="1">
      <c r="B22" s="12" t="s">
        <v>10</v>
      </c>
      <c r="C22" s="13">
        <f>+FET!C22+SECTORIAL!C22</f>
        <v>131228418.92</v>
      </c>
      <c r="D22" s="13">
        <f>+FET!D22+SECTORIAL!D22</f>
        <v>69641344.115</v>
      </c>
      <c r="E22" s="14"/>
      <c r="F22" s="12" t="s">
        <v>10</v>
      </c>
      <c r="G22" s="13">
        <f>+FET!G22+SECTORIAL!G22</f>
        <v>203660010</v>
      </c>
      <c r="H22" s="13">
        <f>+FET!H22+SECTORIAL!H22</f>
        <v>93288606</v>
      </c>
      <c r="J22" s="12" t="s">
        <v>10</v>
      </c>
      <c r="K22" s="54">
        <f t="shared" si="0"/>
        <v>72431591.08</v>
      </c>
      <c r="L22" s="54">
        <f t="shared" si="1"/>
        <v>23647261.885000005</v>
      </c>
    </row>
    <row r="23" spans="1:12" ht="26.25" customHeight="1">
      <c r="A23" s="7"/>
      <c r="B23" s="12" t="s">
        <v>11</v>
      </c>
      <c r="C23" s="13">
        <f>+FET!C23+SECTORIAL!C23</f>
        <v>185509314.045</v>
      </c>
      <c r="D23" s="13">
        <f>+FET!D23+SECTORIAL!D23</f>
        <v>93142490.25</v>
      </c>
      <c r="E23" s="14"/>
      <c r="F23" s="12" t="s">
        <v>11</v>
      </c>
      <c r="G23" s="13">
        <f>+FET!G23+SECTORIAL!G23</f>
        <v>208376271</v>
      </c>
      <c r="H23" s="13">
        <f>+FET!H23+SECTORIAL!H23</f>
        <v>107617380</v>
      </c>
      <c r="J23" s="12" t="s">
        <v>11</v>
      </c>
      <c r="K23" s="54">
        <f t="shared" si="0"/>
        <v>22866956.955000013</v>
      </c>
      <c r="L23" s="54">
        <f t="shared" si="1"/>
        <v>14474889.75</v>
      </c>
    </row>
    <row r="24" spans="1:12" ht="26.25" customHeight="1">
      <c r="A24" s="7"/>
      <c r="B24" s="12" t="s">
        <v>12</v>
      </c>
      <c r="C24" s="13">
        <f>+FET!C24+SECTORIAL!C24</f>
        <v>162366081.765</v>
      </c>
      <c r="D24" s="13">
        <f>+FET!D24+SECTORIAL!D24</f>
        <v>60138829.3225</v>
      </c>
      <c r="E24" s="14"/>
      <c r="F24" s="12" t="s">
        <v>12</v>
      </c>
      <c r="G24" s="13">
        <f>+FET!G24+SECTORIAL!G24</f>
        <v>170611417</v>
      </c>
      <c r="H24" s="13">
        <f>+FET!H24+SECTORIAL!H24</f>
        <v>83701304</v>
      </c>
      <c r="J24" s="12" t="s">
        <v>12</v>
      </c>
      <c r="K24" s="54">
        <f t="shared" si="0"/>
        <v>8245335.235000014</v>
      </c>
      <c r="L24" s="54">
        <f t="shared" si="1"/>
        <v>23562474.677500002</v>
      </c>
    </row>
    <row r="25" spans="1:12" ht="26.25" customHeight="1">
      <c r="A25" s="7"/>
      <c r="B25" s="12" t="s">
        <v>13</v>
      </c>
      <c r="C25" s="13">
        <f>+FET!C25+SECTORIAL!C25</f>
        <v>219212164.5625</v>
      </c>
      <c r="D25" s="13">
        <f>+FET!D25+SECTORIAL!D25</f>
        <v>105462063.095</v>
      </c>
      <c r="E25" s="14"/>
      <c r="F25" s="12" t="s">
        <v>13</v>
      </c>
      <c r="G25" s="13">
        <f>+FET!G25+SECTORIAL!G25</f>
        <v>336978064</v>
      </c>
      <c r="H25" s="13">
        <f>+FET!H25+SECTORIAL!H25</f>
        <v>145978504</v>
      </c>
      <c r="J25" s="12" t="s">
        <v>13</v>
      </c>
      <c r="K25" s="54">
        <f t="shared" si="0"/>
        <v>117765899.4375</v>
      </c>
      <c r="L25" s="54">
        <f t="shared" si="1"/>
        <v>40516440.905</v>
      </c>
    </row>
    <row r="26" spans="1:12" ht="26.25" customHeight="1">
      <c r="A26" s="7"/>
      <c r="B26" s="12" t="s">
        <v>14</v>
      </c>
      <c r="C26" s="13">
        <f>+FET!C26+SECTORIAL!C26</f>
        <v>92939630.34</v>
      </c>
      <c r="D26" s="13">
        <f>+FET!D26+SECTORIAL!D26</f>
        <v>45876198.705</v>
      </c>
      <c r="E26" s="14"/>
      <c r="F26" s="12" t="s">
        <v>14</v>
      </c>
      <c r="G26" s="13">
        <f>+FET!G26+SECTORIAL!G26</f>
        <v>97310291</v>
      </c>
      <c r="H26" s="13">
        <f>+FET!H26+SECTORIAL!H26</f>
        <v>42930598</v>
      </c>
      <c r="J26" s="12" t="s">
        <v>14</v>
      </c>
      <c r="K26" s="54">
        <f t="shared" si="0"/>
        <v>4370660.659999996</v>
      </c>
      <c r="L26" s="54">
        <f t="shared" si="1"/>
        <v>-2945600.704999998</v>
      </c>
    </row>
    <row r="27" spans="1:12" ht="26.25" customHeight="1">
      <c r="A27" s="7"/>
      <c r="B27" s="12" t="s">
        <v>15</v>
      </c>
      <c r="C27" s="13">
        <f>+FET!C27+SECTORIAL!C27</f>
        <v>65449137.059999995</v>
      </c>
      <c r="D27" s="13">
        <f>+FET!D27+SECTORIAL!D27</f>
        <v>32202061.8275</v>
      </c>
      <c r="E27" s="14"/>
      <c r="F27" s="12" t="s">
        <v>15</v>
      </c>
      <c r="G27" s="13">
        <f>+FET!G27+SECTORIAL!G27</f>
        <v>78813828</v>
      </c>
      <c r="H27" s="13">
        <f>+FET!H27+SECTORIAL!H27</f>
        <v>29447437</v>
      </c>
      <c r="J27" s="12" t="s">
        <v>15</v>
      </c>
      <c r="K27" s="54">
        <f t="shared" si="0"/>
        <v>13364690.940000005</v>
      </c>
      <c r="L27" s="54">
        <f t="shared" si="1"/>
        <v>-2754624.8275000006</v>
      </c>
    </row>
    <row r="28" spans="1:12" ht="26.25" customHeight="1">
      <c r="A28" s="7"/>
      <c r="B28" s="17" t="s">
        <v>16</v>
      </c>
      <c r="C28" s="18">
        <f>SUM(C13:C27)</f>
        <v>1835459669.0725</v>
      </c>
      <c r="D28" s="18">
        <f>SUM(D13:D27)</f>
        <v>984505765.0400001</v>
      </c>
      <c r="E28" s="19"/>
      <c r="F28" s="17" t="s">
        <v>16</v>
      </c>
      <c r="G28" s="18">
        <f>SUM(G13:G27)</f>
        <v>2345455707</v>
      </c>
      <c r="H28" s="18">
        <f>SUM(H13:H27)</f>
        <v>1199635506</v>
      </c>
      <c r="J28" s="17" t="s">
        <v>16</v>
      </c>
      <c r="K28" s="18">
        <f>SUM(K13:K27)</f>
        <v>509996037.92749995</v>
      </c>
      <c r="L28" s="18">
        <f>SUM(L13:L27)</f>
        <v>215129740.96000004</v>
      </c>
    </row>
    <row r="29" spans="1:12" ht="26.25" customHeight="1">
      <c r="A29" s="7"/>
      <c r="B29" s="12" t="s">
        <v>17</v>
      </c>
      <c r="C29" s="13">
        <f>+FET!C29+SECTORIAL!C29</f>
        <v>182191783.14249998</v>
      </c>
      <c r="D29" s="13">
        <f>+FET!D29+SECTORIAL!D29</f>
        <v>113445950.6625</v>
      </c>
      <c r="E29" s="14"/>
      <c r="F29" s="12" t="s">
        <v>17</v>
      </c>
      <c r="G29" s="13">
        <f>+FET!G29+SECTORIAL!G29</f>
        <v>329513596</v>
      </c>
      <c r="H29" s="13">
        <f>+FET!H29+SECTORIAL!H29</f>
        <v>185955106</v>
      </c>
      <c r="J29" s="12" t="s">
        <v>17</v>
      </c>
      <c r="K29" s="54">
        <f t="shared" si="0"/>
        <v>147321812.85750002</v>
      </c>
      <c r="L29" s="54">
        <f t="shared" si="1"/>
        <v>72509155.3375</v>
      </c>
    </row>
    <row r="30" spans="1:12" ht="26.25" customHeight="1">
      <c r="A30" s="7"/>
      <c r="B30" s="17" t="s">
        <v>18</v>
      </c>
      <c r="C30" s="18">
        <f>+C28+C29</f>
        <v>2017651452.215</v>
      </c>
      <c r="D30" s="18">
        <f>+D28+D29</f>
        <v>1097951715.7025</v>
      </c>
      <c r="E30" s="19"/>
      <c r="F30" s="17" t="s">
        <v>18</v>
      </c>
      <c r="G30" s="18">
        <f>+G28+G29</f>
        <v>2674969303</v>
      </c>
      <c r="H30" s="18">
        <f>+H28+H29</f>
        <v>1385590612</v>
      </c>
      <c r="J30" s="17" t="s">
        <v>18</v>
      </c>
      <c r="K30" s="18">
        <f>+K28+K29</f>
        <v>657317850.785</v>
      </c>
      <c r="L30" s="18">
        <f>+L28+L29</f>
        <v>287638896.2975</v>
      </c>
    </row>
    <row r="31" spans="1:12" ht="26.25" customHeight="1">
      <c r="A31" s="7"/>
      <c r="B31" s="12" t="s">
        <v>19</v>
      </c>
      <c r="C31" s="13">
        <f>+FET!C31+SECTORIAL!C31</f>
        <v>3905862.065</v>
      </c>
      <c r="D31" s="13">
        <f>+FET!D31+SECTORIAL!D31</f>
        <v>0</v>
      </c>
      <c r="E31" s="14"/>
      <c r="F31" s="12" t="s">
        <v>27</v>
      </c>
      <c r="G31" s="13">
        <f>+FET!G31+SECTORIAL!G31</f>
        <v>39236962</v>
      </c>
      <c r="H31" s="13">
        <f>+FET!H31+SECTORIAL!H31</f>
        <v>0</v>
      </c>
      <c r="J31" s="23"/>
      <c r="K31" s="24"/>
      <c r="L31" s="24"/>
    </row>
    <row r="32" spans="1:17" ht="26.25" customHeight="1">
      <c r="A32" s="7"/>
      <c r="B32" s="17" t="s">
        <v>22</v>
      </c>
      <c r="C32" s="18">
        <f>+C31+C30</f>
        <v>2021557314.28</v>
      </c>
      <c r="D32" s="18">
        <f>+D31+D30</f>
        <v>1097951715.7025</v>
      </c>
      <c r="E32" s="19"/>
      <c r="F32" s="17" t="s">
        <v>23</v>
      </c>
      <c r="G32" s="18">
        <f>+G31+G30</f>
        <v>2714206265</v>
      </c>
      <c r="H32" s="18">
        <f>+H31+H30</f>
        <v>1385590612</v>
      </c>
      <c r="J32" s="25"/>
      <c r="K32" s="26"/>
      <c r="L32" s="26"/>
      <c r="Q32" s="29"/>
    </row>
    <row r="33" spans="1:7" ht="15">
      <c r="A33" s="7"/>
      <c r="C33" s="16"/>
      <c r="D33" s="16"/>
      <c r="G33" s="6"/>
    </row>
    <row r="34" spans="2:11" ht="15">
      <c r="B34" s="6"/>
      <c r="C34" s="6"/>
      <c r="D34" s="6"/>
      <c r="F34" s="6"/>
      <c r="G34" s="42"/>
      <c r="H34" s="42"/>
      <c r="I34" s="6"/>
      <c r="J34" s="6"/>
      <c r="K34" s="6"/>
    </row>
    <row r="35" spans="2:11" ht="15">
      <c r="B35" s="6"/>
      <c r="C35" s="42"/>
      <c r="D35" s="42"/>
      <c r="F35" s="6"/>
      <c r="G35" s="42"/>
      <c r="H35" s="42"/>
      <c r="I35" s="6"/>
      <c r="J35" s="6"/>
      <c r="K35" s="6"/>
    </row>
    <row r="36" spans="7:8" ht="15">
      <c r="G36" s="29"/>
      <c r="H36" s="29"/>
    </row>
    <row r="37" spans="1:8" ht="15">
      <c r="A37" s="7"/>
      <c r="H37" s="29"/>
    </row>
    <row r="38" spans="1:7" ht="15">
      <c r="A38" s="7"/>
      <c r="G38" s="16"/>
    </row>
    <row r="39" spans="1:7" ht="15">
      <c r="A39" s="7"/>
      <c r="E39" s="7"/>
      <c r="G39" s="16"/>
    </row>
  </sheetData>
  <sheetProtection/>
  <mergeCells count="7">
    <mergeCell ref="B1:L1"/>
    <mergeCell ref="B5:L5"/>
    <mergeCell ref="B6:L6"/>
    <mergeCell ref="B7:L7"/>
    <mergeCell ref="B11:D11"/>
    <mergeCell ref="F11:H11"/>
    <mergeCell ref="J11:L11"/>
  </mergeCells>
  <printOptions/>
  <pageMargins left="0.25" right="0.25" top="0.75" bottom="0.75" header="0.3" footer="0.3"/>
  <pageSetup fitToHeight="0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Andrea Soto (Dirplan)</dc:creator>
  <cp:keywords/>
  <dc:description/>
  <cp:lastModifiedBy>Esteban Arriagada Marin (DIRPLAN)</cp:lastModifiedBy>
  <cp:lastPrinted>2021-10-26T01:09:33Z</cp:lastPrinted>
  <dcterms:created xsi:type="dcterms:W3CDTF">2013-04-18T20:53:30Z</dcterms:created>
  <dcterms:modified xsi:type="dcterms:W3CDTF">2021-11-09T12:43:37Z</dcterms:modified>
  <cp:category/>
  <cp:version/>
  <cp:contentType/>
  <cp:contentStatus/>
</cp:coreProperties>
</file>